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M:\Annuity Marketing\Team Serrano\Team Serrano Plans &amp; Tracking\DC New Role\Sales Resources\"/>
    </mc:Choice>
  </mc:AlternateContent>
  <xr:revisionPtr revIDLastSave="0" documentId="8_{A5A82EE0-EC05-4842-B5E0-1FB9081279B6}" xr6:coauthVersionLast="47" xr6:coauthVersionMax="47" xr10:uidLastSave="{00000000-0000-0000-0000-000000000000}"/>
  <workbookProtection workbookAlgorithmName="SHA-512" workbookHashValue="7g2ROOuz9Vmf3DJGG6nMVD9D6R5kszJN81n6mGu9xMYYulYFkYuZNIRC/ipgImMzdmBBJVNjIuTysdhwLXX5mw==" workbookSaltValue="LnR0EqT/WjBgdsyWJyMlsA==" workbookSpinCount="100000" lockStructure="1"/>
  <bookViews>
    <workbookView xWindow="-23835" yWindow="1035" windowWidth="23190" windowHeight="13755" xr2:uid="{B15E1262-62F1-49E3-980E-5D5D228CA0F3}"/>
  </bookViews>
  <sheets>
    <sheet name="Indexing Tool" sheetId="1" r:id="rId1"/>
    <sheet name="S&amp;P Returns" sheetId="2" r:id="rId2"/>
    <sheet name="Instructions" sheetId="4" r:id="rId3"/>
    <sheet name="Graph"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2" i="1" l="1"/>
  <c r="N22" i="1"/>
  <c r="N23" i="1" s="1"/>
  <c r="N24" i="1" s="1"/>
  <c r="N25" i="1" s="1"/>
  <c r="N26" i="1" s="1"/>
  <c r="N27" i="1" s="1"/>
  <c r="N28" i="1" s="1"/>
  <c r="N29" i="1" s="1"/>
  <c r="N30" i="1" s="1"/>
  <c r="N31" i="1" s="1"/>
  <c r="N32" i="1" s="1"/>
  <c r="N33" i="1" s="1"/>
  <c r="N34" i="1" s="1"/>
  <c r="N35" i="1" s="1"/>
  <c r="N36" i="1" s="1"/>
  <c r="N37" i="1" s="1"/>
  <c r="N38" i="1" s="1"/>
  <c r="N39" i="1" s="1"/>
  <c r="N40" i="1" s="1"/>
  <c r="N41" i="1" s="1"/>
  <c r="S21" i="1"/>
  <c r="S22" i="1" s="1"/>
  <c r="S23" i="1" s="1"/>
  <c r="S24" i="1" s="1"/>
  <c r="S25" i="1" s="1"/>
  <c r="S26" i="1" s="1"/>
  <c r="S27" i="1" s="1"/>
  <c r="S28" i="1" s="1"/>
  <c r="S29" i="1" s="1"/>
  <c r="S30" i="1" s="1"/>
  <c r="S31" i="1" s="1"/>
  <c r="S32" i="1" s="1"/>
  <c r="S33" i="1" s="1"/>
  <c r="S34" i="1" s="1"/>
  <c r="S35" i="1" s="1"/>
  <c r="S36" i="1" s="1"/>
  <c r="S37" i="1" s="1"/>
  <c r="S38" i="1" s="1"/>
  <c r="S39" i="1" s="1"/>
  <c r="S40" i="1" s="1"/>
  <c r="S41" i="1" s="1"/>
  <c r="N21" i="1"/>
  <c r="K21" i="1"/>
  <c r="K22" i="1" s="1"/>
  <c r="K23" i="1" s="1"/>
  <c r="K24" i="1" s="1"/>
  <c r="K25" i="1" s="1"/>
  <c r="K26" i="1" s="1"/>
  <c r="K27" i="1" s="1"/>
  <c r="K28" i="1" s="1"/>
  <c r="K29" i="1" s="1"/>
  <c r="K30" i="1" s="1"/>
  <c r="K31" i="1" s="1"/>
  <c r="K32" i="1" s="1"/>
  <c r="K33" i="1" s="1"/>
  <c r="K34" i="1" s="1"/>
  <c r="K35" i="1" s="1"/>
  <c r="K36" i="1" s="1"/>
  <c r="K37" i="1" s="1"/>
  <c r="K38" i="1" s="1"/>
  <c r="K39" i="1" s="1"/>
  <c r="K40" i="1" s="1"/>
  <c r="K41" i="1" s="1"/>
  <c r="G21" i="1"/>
  <c r="G22" i="1" s="1"/>
  <c r="G23" i="1" s="1"/>
  <c r="G24" i="1" s="1"/>
  <c r="G25" i="1" s="1"/>
  <c r="G26" i="1" s="1"/>
  <c r="G27" i="1" s="1"/>
  <c r="G28" i="1" s="1"/>
  <c r="G29" i="1" s="1"/>
  <c r="G30" i="1" s="1"/>
  <c r="G31" i="1" s="1"/>
  <c r="G32" i="1" s="1"/>
  <c r="G33" i="1" s="1"/>
  <c r="G34" i="1" s="1"/>
  <c r="G35" i="1" s="1"/>
  <c r="G36" i="1" s="1"/>
  <c r="G37" i="1" s="1"/>
  <c r="G38" i="1" s="1"/>
  <c r="G39" i="1" s="1"/>
  <c r="G40" i="1" s="1"/>
  <c r="G41" i="1" s="1"/>
  <c r="L21" i="1"/>
  <c r="Q21" i="1"/>
  <c r="P21" i="4"/>
  <c r="O21" i="4"/>
  <c r="N21" i="4"/>
  <c r="M21" i="4"/>
  <c r="L21" i="4"/>
  <c r="K21" i="4"/>
  <c r="J21" i="4"/>
  <c r="G21" i="4"/>
  <c r="F21" i="4"/>
  <c r="C21" i="4"/>
  <c r="S21" i="4" s="1"/>
  <c r="B21" i="4"/>
  <c r="A1" i="2" l="1"/>
  <c r="C41" i="1"/>
  <c r="C40" i="1"/>
  <c r="C39" i="1"/>
  <c r="C38" i="1"/>
  <c r="C37" i="1"/>
  <c r="C36" i="1"/>
  <c r="C35" i="1"/>
  <c r="C34" i="1"/>
  <c r="C33" i="1"/>
  <c r="C32" i="1"/>
  <c r="C31" i="1"/>
  <c r="C30" i="1"/>
  <c r="C29" i="1"/>
  <c r="C28" i="1"/>
  <c r="C27" i="1"/>
  <c r="C26" i="1"/>
  <c r="C25" i="1"/>
  <c r="C24" i="1"/>
  <c r="C23" i="1"/>
  <c r="C22" i="1"/>
  <c r="H21" i="1"/>
  <c r="D21" i="1"/>
  <c r="C21" i="1"/>
  <c r="K42" i="1" l="1"/>
  <c r="N42" i="1"/>
  <c r="A2" i="2"/>
  <c r="O21" i="1"/>
  <c r="V21" i="1"/>
  <c r="I39" i="1" l="1"/>
  <c r="E21" i="1"/>
  <c r="I34" i="1"/>
  <c r="E36" i="1"/>
  <c r="I24" i="1"/>
  <c r="I33" i="1"/>
  <c r="I41" i="1"/>
  <c r="E35" i="1"/>
  <c r="E28" i="1"/>
  <c r="E41" i="1"/>
  <c r="E29" i="1"/>
  <c r="E37" i="1"/>
  <c r="E22" i="1"/>
  <c r="I36" i="1"/>
  <c r="E30" i="1"/>
  <c r="I37" i="1"/>
  <c r="E31" i="1"/>
  <c r="E24" i="1"/>
  <c r="E32" i="1"/>
  <c r="E40" i="1"/>
  <c r="E33" i="1"/>
  <c r="G42" i="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I38" i="1" l="1"/>
  <c r="I28" i="1"/>
  <c r="I35" i="1"/>
  <c r="E34" i="1"/>
  <c r="E25" i="1"/>
  <c r="R25" i="1" s="1"/>
  <c r="I30" i="1"/>
  <c r="E39" i="1"/>
  <c r="F39" i="1" s="1"/>
  <c r="I27" i="1"/>
  <c r="J27" i="1" s="1"/>
  <c r="E26" i="1"/>
  <c r="I21" i="1"/>
  <c r="I22" i="1"/>
  <c r="E23" i="1"/>
  <c r="I26" i="1"/>
  <c r="I40" i="1"/>
  <c r="J40" i="1" s="1"/>
  <c r="I31" i="1"/>
  <c r="J31" i="1" s="1"/>
  <c r="E27" i="1"/>
  <c r="I29" i="1"/>
  <c r="E38" i="1"/>
  <c r="I25" i="1"/>
  <c r="I32" i="1"/>
  <c r="I23" i="1"/>
  <c r="J23" i="1" s="1"/>
  <c r="J36" i="1"/>
  <c r="J32" i="1"/>
  <c r="J29" i="1"/>
  <c r="J28" i="1"/>
  <c r="J34" i="1"/>
  <c r="J35" i="1"/>
  <c r="J37" i="1"/>
  <c r="J30" i="1"/>
  <c r="J26" i="1"/>
  <c r="J22" i="1"/>
  <c r="J41" i="1"/>
  <c r="F21" i="1"/>
  <c r="J38" i="1"/>
  <c r="J24" i="1"/>
  <c r="J25" i="1"/>
  <c r="J33" i="1"/>
  <c r="J39" i="1"/>
  <c r="J21" i="1"/>
  <c r="H22" i="1" s="1"/>
  <c r="M30" i="1"/>
  <c r="M23" i="1"/>
  <c r="F33" i="1"/>
  <c r="F36" i="1"/>
  <c r="D21" i="4"/>
  <c r="E21" i="4" s="1"/>
  <c r="F32" i="1"/>
  <c r="R40" i="1"/>
  <c r="F38" i="1"/>
  <c r="R31" i="1"/>
  <c r="R24" i="1"/>
  <c r="F22" i="1"/>
  <c r="F35" i="1"/>
  <c r="F34" i="1"/>
  <c r="F26" i="1"/>
  <c r="H21" i="4"/>
  <c r="I21" i="4" s="1"/>
  <c r="R28" i="1"/>
  <c r="F29" i="1"/>
  <c r="F41" i="1"/>
  <c r="R27" i="1"/>
  <c r="R37" i="1"/>
  <c r="H23" i="1" l="1"/>
  <c r="H24" i="1" s="1"/>
  <c r="F28" i="1"/>
  <c r="R23" i="1"/>
  <c r="M40" i="1"/>
  <c r="F40" i="1"/>
  <c r="M25" i="1"/>
  <c r="F25" i="1"/>
  <c r="R38" i="1"/>
  <c r="M21" i="1"/>
  <c r="L22" i="1" s="1"/>
  <c r="M38" i="1"/>
  <c r="M28" i="1"/>
  <c r="R26" i="1"/>
  <c r="M22" i="1"/>
  <c r="R22" i="1"/>
  <c r="M27" i="1"/>
  <c r="F27" i="1"/>
  <c r="R29" i="1"/>
  <c r="R36" i="1"/>
  <c r="M24" i="1"/>
  <c r="M29" i="1"/>
  <c r="M36" i="1"/>
  <c r="R39" i="1"/>
  <c r="F24" i="1"/>
  <c r="R41" i="1"/>
  <c r="F37" i="1"/>
  <c r="F23" i="1"/>
  <c r="F30" i="1"/>
  <c r="M39" i="1"/>
  <c r="M31" i="1"/>
  <c r="F31" i="1"/>
  <c r="M32" i="1"/>
  <c r="M34" i="1"/>
  <c r="R21" i="1"/>
  <c r="Q22" i="1" s="1"/>
  <c r="M41" i="1"/>
  <c r="R30" i="1"/>
  <c r="R35" i="1"/>
  <c r="R32" i="1"/>
  <c r="R34" i="1"/>
  <c r="M33" i="1"/>
  <c r="M35" i="1"/>
  <c r="M37" i="1"/>
  <c r="R33" i="1"/>
  <c r="I46" i="1"/>
  <c r="M26" i="1"/>
  <c r="D22" i="1"/>
  <c r="D23" i="1" s="1"/>
  <c r="D24" i="1" l="1"/>
  <c r="D25" i="1" s="1"/>
  <c r="D26" i="1" s="1"/>
  <c r="D27" i="1" s="1"/>
  <c r="D28" i="1" s="1"/>
  <c r="D29" i="1" s="1"/>
  <c r="Q23" i="1"/>
  <c r="Q24" i="1" s="1"/>
  <c r="Q25" i="1" s="1"/>
  <c r="Q26" i="1" s="1"/>
  <c r="Q27" i="1" s="1"/>
  <c r="Q28" i="1" s="1"/>
  <c r="Q29" i="1" s="1"/>
  <c r="Q30" i="1" s="1"/>
  <c r="Q31" i="1" s="1"/>
  <c r="Q32" i="1" s="1"/>
  <c r="Q33" i="1" s="1"/>
  <c r="Q34" i="1" s="1"/>
  <c r="Q35" i="1" s="1"/>
  <c r="Q36" i="1" s="1"/>
  <c r="Q37" i="1" s="1"/>
  <c r="Q38" i="1" s="1"/>
  <c r="Q39" i="1" s="1"/>
  <c r="Q40" i="1" s="1"/>
  <c r="Q41" i="1" s="1"/>
  <c r="Q42" i="1" s="1"/>
  <c r="R44" i="1" s="1"/>
  <c r="L23" i="1"/>
  <c r="L24" i="1" s="1"/>
  <c r="L25" i="1" s="1"/>
  <c r="L26" i="1" s="1"/>
  <c r="L27" i="1" s="1"/>
  <c r="L28" i="1" s="1"/>
  <c r="L29" i="1" s="1"/>
  <c r="L30" i="1" s="1"/>
  <c r="L31" i="1" s="1"/>
  <c r="L32" i="1" s="1"/>
  <c r="L33" i="1" s="1"/>
  <c r="L34" i="1" s="1"/>
  <c r="L35" i="1" s="1"/>
  <c r="L36" i="1" s="1"/>
  <c r="L37" i="1" s="1"/>
  <c r="L38" i="1" s="1"/>
  <c r="L39" i="1" s="1"/>
  <c r="L40" i="1" s="1"/>
  <c r="L41" i="1" s="1"/>
  <c r="L42" i="1" s="1"/>
  <c r="M44" i="1" s="1"/>
  <c r="E46" i="1"/>
  <c r="M46" i="1"/>
  <c r="R46" i="1"/>
  <c r="H25" i="1"/>
  <c r="O22" i="1"/>
  <c r="P21" i="1" s="1"/>
  <c r="V22" i="1"/>
  <c r="V23" i="1" l="1"/>
  <c r="H26" i="1"/>
  <c r="O23" i="1"/>
  <c r="P22" i="1" s="1"/>
  <c r="D30" i="1" l="1"/>
  <c r="D31" i="1" s="1"/>
  <c r="D32" i="1" s="1"/>
  <c r="D33" i="1" s="1"/>
  <c r="D34" i="1" s="1"/>
  <c r="D35" i="1" s="1"/>
  <c r="H27" i="1"/>
  <c r="H28" i="1" l="1"/>
  <c r="O24" i="1"/>
  <c r="P23" i="1" s="1"/>
  <c r="V24" i="1"/>
  <c r="D36" i="1" l="1"/>
  <c r="D37" i="1" s="1"/>
  <c r="D38" i="1" s="1"/>
  <c r="D39" i="1" s="1"/>
  <c r="D40" i="1" s="1"/>
  <c r="D41" i="1" s="1"/>
  <c r="H29" i="1"/>
  <c r="D42" i="1" l="1"/>
  <c r="H30" i="1"/>
  <c r="H31" i="1" s="1"/>
  <c r="H32" i="1" s="1"/>
  <c r="H33" i="1" s="1"/>
  <c r="H34" i="1" s="1"/>
  <c r="H35" i="1" s="1"/>
  <c r="H36" i="1" s="1"/>
  <c r="H37" i="1" s="1"/>
  <c r="H38" i="1" s="1"/>
  <c r="H39" i="1" s="1"/>
  <c r="H40" i="1" s="1"/>
  <c r="H41" i="1" s="1"/>
  <c r="H42" i="1" s="1"/>
  <c r="O25" i="1"/>
  <c r="P24" i="1" s="1"/>
  <c r="V25" i="1"/>
  <c r="O26" i="1" l="1"/>
  <c r="P25" i="1" s="1"/>
  <c r="V26" i="1"/>
  <c r="V27" i="1" l="1"/>
  <c r="O27" i="1"/>
  <c r="P26" i="1" s="1"/>
  <c r="O28" i="1" l="1"/>
  <c r="P27" i="1" s="1"/>
  <c r="V28" i="1"/>
  <c r="V29" i="1" l="1"/>
  <c r="O29" i="1"/>
  <c r="P28" i="1" s="1"/>
  <c r="V30" i="1" l="1"/>
  <c r="O30" i="1"/>
  <c r="P29" i="1" s="1"/>
  <c r="O31" i="1" l="1"/>
  <c r="P30" i="1" s="1"/>
  <c r="V31" i="1"/>
  <c r="V32" i="1" l="1"/>
  <c r="O32" i="1"/>
  <c r="P31" i="1" s="1"/>
  <c r="O33" i="1" l="1"/>
  <c r="P32" i="1" s="1"/>
  <c r="V33" i="1"/>
  <c r="V34" i="1" l="1"/>
  <c r="O34" i="1"/>
  <c r="P33" i="1" s="1"/>
  <c r="V35" i="1" l="1"/>
  <c r="O35" i="1"/>
  <c r="P34" i="1" s="1"/>
  <c r="V36" i="1" l="1"/>
  <c r="O36" i="1"/>
  <c r="P35" i="1" s="1"/>
  <c r="V37" i="1" l="1"/>
  <c r="O37" i="1"/>
  <c r="P36" i="1" s="1"/>
  <c r="V38" i="1" l="1"/>
  <c r="O38" i="1"/>
  <c r="P37" i="1" s="1"/>
  <c r="O39" i="1" l="1"/>
  <c r="P38" i="1" s="1"/>
  <c r="V39" i="1"/>
  <c r="V40" i="1" l="1"/>
  <c r="O40" i="1"/>
  <c r="P39" i="1" s="1"/>
  <c r="V41" i="1" l="1"/>
  <c r="O41" i="1"/>
  <c r="P40" i="1" s="1"/>
  <c r="V42" i="1" l="1"/>
  <c r="E44" i="1"/>
  <c r="O42" i="1"/>
  <c r="P41" i="1" l="1"/>
  <c r="P46" i="1" s="1"/>
  <c r="P44" i="1"/>
</calcChain>
</file>

<file path=xl/sharedStrings.xml><?xml version="1.0" encoding="utf-8"?>
<sst xmlns="http://schemas.openxmlformats.org/spreadsheetml/2006/main" count="147" uniqueCount="74">
  <si>
    <t>This is provided for illustrative purposes only it does not represent any specific products</t>
  </si>
  <si>
    <t>Client Name:</t>
  </si>
  <si>
    <t>Withdrawals (W/D)</t>
  </si>
  <si>
    <t xml:space="preserve"> Income Need/yr:</t>
  </si>
  <si>
    <t xml:space="preserve"> </t>
  </si>
  <si>
    <t>Client Age:</t>
  </si>
  <si>
    <t>Growth Bucket %</t>
  </si>
  <si>
    <t>High Risk/High return</t>
  </si>
  <si>
    <t>Bond Bucket %</t>
  </si>
  <si>
    <t>Moderate Risk/Moderate return</t>
  </si>
  <si>
    <t>Cap Safe Bucket %</t>
  </si>
  <si>
    <t>No Risk/Moderate Return</t>
  </si>
  <si>
    <t>Cap Rate</t>
  </si>
  <si>
    <t>Year</t>
  </si>
  <si>
    <t>Par Safe Bucket %</t>
  </si>
  <si>
    <t>Par Rate</t>
  </si>
  <si>
    <t xml:space="preserve">Management Fee: </t>
  </si>
  <si>
    <t>Growth Bucket (S&amp;P TR Index)</t>
  </si>
  <si>
    <t>Bond Bucket (Agg Index)</t>
  </si>
  <si>
    <t>Safe Bucket (Index Annuity Cap)</t>
  </si>
  <si>
    <t>Safe Bucket (Index Annuity Par)</t>
  </si>
  <si>
    <t>Age</t>
  </si>
  <si>
    <t>Account Balance</t>
  </si>
  <si>
    <t>Growth</t>
  </si>
  <si>
    <t>Net Growth</t>
  </si>
  <si>
    <t>W/D</t>
  </si>
  <si>
    <t>TOTAL</t>
  </si>
  <si>
    <t>Real ROR</t>
  </si>
  <si>
    <t>Avg ROR</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</si>
  <si>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</si>
  <si>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</si>
  <si>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</si>
  <si>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</si>
  <si>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</si>
  <si>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</si>
  <si>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</si>
  <si>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</si>
  <si>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</si>
  <si>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</si>
  <si>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</si>
  <si>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</si>
  <si>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</si>
  <si>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</si>
  <si>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</si>
  <si>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</si>
  <si>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</si>
  <si>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</si>
  <si>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</si>
  <si>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</si>
  <si>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This is for illustration purposes only, does not represent any specific product recommendation or an offer or contract. This is not intended to explain in detail how any of these products work. The purpose of this presentation is to help explain how a variety of insurance products, including fixed index annuities, can provide a combination of retirement income and cash accumulation. Fixed index annuities are designed to meet long-term needs for retirement income. They provide guarantees of principal and credited interest, and may be subject to surrender charges and a death benefit for beneficiaries. Product features, limitations and availability vary by state. See product-specific materials, disclosures and contract forms/riders for full details. Any comments regarding safety and guaranteed income streams refer only to fixed insurance products. They do not refer, in any way to securities or investment advisory products. Insurance and annuity product guarantees are backed by the financial strength and claims-paying ability of the issuing insurer. Annuities are not FDIC insured. Fixed insurance products are not securities, and are not subject to Investment Advisor requirements. Bond obligations are subject to the financial strength of the bond issuer and its ability to pay. For more information on bonds or investments, consult your financial adviser to understand the risks involved.</t>
  </si>
  <si>
    <t xml:space="preserve">"Growth" is represented by the S&amp;P values for the years noted. Please note, it is not possible to invest directly into the S&amp;P 500® Index; this measure is provided solely as a benchmark of overall market performance. </t>
  </si>
  <si>
    <t xml:space="preserve">Past performance of the S&amp;P 500® is not an indication of future performance and is not guaranteed. Standard &amp; Poor’s: “Standard &amp; Poor’s®”, “S&amp;P®”, and “S&amp;P 500®” are registered trademarks of Standard &amp; Poor’s Financial Services LLC (“S&amp;P”). S&amp;P 500® returns based on information obtained from https://www.macrotrends.net/2526/sp-500-historical-annual-returns. Information is believed to be reliable but the accuracy of the information cannot be guaranteed.  </t>
  </si>
  <si>
    <t>12/22 -2658490</t>
  </si>
  <si>
    <t>Total</t>
  </si>
  <si>
    <t>Initial</t>
  </si>
  <si>
    <t>Total Investment</t>
  </si>
  <si>
    <t>CLIENT INPUTS</t>
  </si>
  <si>
    <t>Bonds</t>
  </si>
  <si>
    <t>Cap Safe</t>
  </si>
  <si>
    <t>Par Safe</t>
  </si>
  <si>
    <t>Investment Year</t>
  </si>
  <si>
    <t>S&amp;P Price Return</t>
  </si>
  <si>
    <t>S&amp;P Total Return</t>
  </si>
  <si>
    <t>Bond Return</t>
  </si>
  <si>
    <t>Last 20 years historical returns pulled from: Last 20 years historical returns pulled from:https://www.macrotrends.net/2526/sp-500-historical-annual-returns accessed 4/5/19
https://www.macrotrends.net/2526/sp-500-historical-annual-returns accessed 4/5/19
https://www.macrotrends.net/2526/sp-500-historical-annual-returns</t>
  </si>
  <si>
    <r>
      <t xml:space="preserve">Total Structure </t>
    </r>
    <r>
      <rPr>
        <b/>
        <sz val="10"/>
        <color theme="0"/>
        <rFont val="Calibri"/>
        <family val="2"/>
        <scheme val="minor"/>
      </rPr>
      <t>(Safe+Growth)</t>
    </r>
  </si>
  <si>
    <r>
      <t xml:space="preserve">Indexing Strategy Worksheet </t>
    </r>
    <r>
      <rPr>
        <b/>
        <i/>
        <sz val="24"/>
        <color theme="0"/>
        <rFont val="Calibri"/>
        <family val="2"/>
        <scheme val="minor"/>
      </rPr>
      <t>(For The Mathematicians)</t>
    </r>
  </si>
  <si>
    <t>Investment Amount</t>
  </si>
  <si>
    <t>Initial Year</t>
  </si>
  <si>
    <t>Investment Amount:</t>
  </si>
  <si>
    <t>Cap Safe Bonus %</t>
  </si>
  <si>
    <t>mr/mrs jones</t>
  </si>
  <si>
    <t>COLA</t>
  </si>
  <si>
    <t>WD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</si>
</sst>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00%"/>
    <numFmt numFmtId="167" formatCode="0.0%"/>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u/>
      <sz val="14"/>
      <color theme="1"/>
      <name val="Calibri"/>
      <family val="2"/>
      <scheme val="minor"/>
    </font>
    <font>
      <i/>
      <sz val="11"/>
      <color theme="1"/>
      <name val="Calibri"/>
      <family val="2"/>
      <scheme val="minor"/>
    </font>
    <font>
      <b/>
      <i/>
      <sz val="11"/>
      <color theme="1"/>
      <name val="Calibri"/>
      <family val="2"/>
      <scheme val="minor"/>
    </font>
    <font>
      <sz val="14"/>
      <color theme="1"/>
      <name val="Calibri"/>
      <family val="2"/>
      <scheme val="minor"/>
    </font>
    <font>
      <sz val="11"/>
      <name val="Times New Roman"/>
      <family val="1"/>
    </font>
    <font>
      <sz val="11"/>
      <name val="Calibri"/>
      <family val="2"/>
      <scheme val="minor"/>
    </font>
    <font>
      <sz val="11"/>
      <color rgb="FF000000"/>
      <name val="Calibri"/>
      <family val="2"/>
      <scheme val="minor"/>
    </font>
    <font>
      <b/>
      <sz val="12"/>
      <color theme="1"/>
      <name val="Calibri"/>
      <family val="2"/>
      <scheme val="minor"/>
    </font>
    <font>
      <sz val="8"/>
      <name val="Calibri"/>
      <family val="2"/>
      <scheme val="minor"/>
    </font>
    <font>
      <b/>
      <sz val="11"/>
      <color theme="0"/>
      <name val="Calibri"/>
      <family val="2"/>
      <scheme val="minor"/>
    </font>
    <font>
      <sz val="11"/>
      <color rgb="FFFF0000"/>
      <name val="Times New Roman"/>
      <family val="1"/>
    </font>
    <font>
      <b/>
      <u/>
      <sz val="14"/>
      <color theme="0"/>
      <name val="Calibri"/>
      <family val="2"/>
      <scheme val="minor"/>
    </font>
    <font>
      <b/>
      <i/>
      <sz val="10"/>
      <color rgb="FFFF0000"/>
      <name val="Calibri"/>
      <family val="2"/>
      <scheme val="minor"/>
    </font>
    <font>
      <b/>
      <i/>
      <sz val="10"/>
      <color theme="5" tint="-0.249977111117893"/>
      <name val="Calibri"/>
      <family val="2"/>
      <scheme val="minor"/>
    </font>
    <font>
      <b/>
      <i/>
      <sz val="10"/>
      <color theme="9" tint="-0.249977111117893"/>
      <name val="Calibri"/>
      <family val="2"/>
      <scheme val="minor"/>
    </font>
    <font>
      <sz val="14"/>
      <color theme="0"/>
      <name val="Calibri"/>
      <family val="2"/>
      <scheme val="minor"/>
    </font>
    <font>
      <sz val="11"/>
      <color theme="1"/>
      <name val="Times New Roman"/>
      <family val="1"/>
    </font>
    <font>
      <b/>
      <sz val="11"/>
      <color rgb="FF000000"/>
      <name val="Times New Roman"/>
      <family val="1"/>
    </font>
    <font>
      <sz val="11"/>
      <color rgb="FF000000"/>
      <name val="Times New Roman"/>
      <family val="1"/>
    </font>
    <font>
      <sz val="11"/>
      <color theme="4"/>
      <name val="Times New Roman"/>
      <family val="1"/>
    </font>
    <font>
      <b/>
      <sz val="11"/>
      <color theme="1"/>
      <name val="Times New Roman"/>
      <family val="1"/>
    </font>
    <font>
      <b/>
      <sz val="14"/>
      <color theme="0"/>
      <name val="Calibri"/>
      <family val="2"/>
      <scheme val="minor"/>
    </font>
    <font>
      <b/>
      <sz val="10"/>
      <color theme="0"/>
      <name val="Calibri"/>
      <family val="2"/>
      <scheme val="minor"/>
    </font>
    <font>
      <i/>
      <sz val="18"/>
      <color rgb="FF555555"/>
      <name val="Arial"/>
      <family val="2"/>
    </font>
    <font>
      <i/>
      <sz val="18"/>
      <color theme="1"/>
      <name val="Calibri"/>
      <family val="2"/>
      <scheme val="minor"/>
    </font>
    <font>
      <sz val="18"/>
      <color theme="1"/>
      <name val="Calibri"/>
      <family val="2"/>
      <scheme val="minor"/>
    </font>
    <font>
      <i/>
      <sz val="11"/>
      <color rgb="FF555555"/>
      <name val="Arial"/>
      <family val="2"/>
    </font>
    <font>
      <b/>
      <sz val="20"/>
      <color theme="0"/>
      <name val="Calibri"/>
      <family val="2"/>
      <scheme val="minor"/>
    </font>
    <font>
      <b/>
      <sz val="24"/>
      <color theme="0"/>
      <name val="Calibri"/>
      <family val="2"/>
      <scheme val="minor"/>
    </font>
    <font>
      <b/>
      <i/>
      <sz val="24"/>
      <color theme="0"/>
      <name val="Calibri"/>
      <family val="2"/>
      <scheme val="minor"/>
    </font>
    <font>
      <sz val="12"/>
      <color theme="1"/>
      <name val="Calibri"/>
      <family val="2"/>
      <scheme val="minor"/>
    </font>
    <font>
      <b/>
      <sz val="14"/>
      <color theme="1"/>
      <name val="Calibri"/>
      <family val="2"/>
      <scheme val="minor"/>
    </font>
    <font>
      <sz val="14"/>
      <name val="Times New Roman"/>
      <family val="1"/>
    </font>
    <font>
      <sz val="14"/>
      <name val="Calibri"/>
      <family val="2"/>
      <scheme val="minor"/>
    </font>
    <font>
      <sz val="14"/>
      <color rgb="FF000000"/>
      <name val="Calibri"/>
      <family val="2"/>
      <scheme val="minor"/>
    </font>
    <font>
      <b/>
      <sz val="14"/>
      <name val="Calibri"/>
      <family val="2"/>
      <scheme val="minor"/>
    </font>
    <font>
      <b/>
      <sz val="12"/>
      <color theme="0"/>
      <name val="Calibri"/>
      <family val="2"/>
      <scheme val="minor"/>
    </font>
    <font>
      <b/>
      <u/>
      <sz val="14"/>
      <color rgb="FF000000"/>
      <name val="Calibri"/>
      <family val="2"/>
      <scheme val="minor"/>
    </font>
  </fonts>
  <fills count="23">
    <fill>
      <patternFill patternType="none"/>
    </fill>
    <fill>
      <patternFill patternType="gray125"/>
    </fill>
    <fill>
      <patternFill patternType="solid">
        <fgColor theme="2"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F7C80"/>
        <bgColor indexed="64"/>
      </patternFill>
    </fill>
    <fill>
      <patternFill patternType="solid">
        <fgColor rgb="FFFA4A3C"/>
        <bgColor indexed="64"/>
      </patternFill>
    </fill>
    <fill>
      <patternFill patternType="solid">
        <fgColor rgb="FFF7B591"/>
        <bgColor indexed="64"/>
      </patternFill>
    </fill>
    <fill>
      <patternFill patternType="solid">
        <fgColor theme="9" tint="-0.249977111117893"/>
        <bgColor indexed="64"/>
      </patternFill>
    </fill>
    <fill>
      <patternFill patternType="solid">
        <fgColor rgb="FF00B050"/>
        <bgColor indexed="64"/>
      </patternFill>
    </fill>
    <fill>
      <patternFill patternType="solid">
        <fgColor rgb="FF9BFA8E"/>
        <bgColor indexed="64"/>
      </patternFill>
    </fill>
    <fill>
      <patternFill patternType="solid">
        <fgColor theme="9"/>
        <bgColor indexed="64"/>
      </patternFill>
    </fill>
    <fill>
      <patternFill patternType="solid">
        <fgColor rgb="FFE90909"/>
        <bgColor indexed="64"/>
      </patternFill>
    </fill>
    <fill>
      <patternFill patternType="solid">
        <fgColor rgb="FF0070C0"/>
        <bgColor indexed="64"/>
      </patternFill>
    </fill>
    <fill>
      <patternFill patternType="solid">
        <fgColor rgb="FFDF9FFF"/>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2">
    <xf numFmtId="0" fontId="0" fillId="0" borderId="0" xfId="0"/>
    <xf numFmtId="0" fontId="3" fillId="0" borderId="0" xfId="0" applyFont="1" applyAlignment="1">
      <alignment horizontal="center" vertical="center"/>
    </xf>
    <xf numFmtId="0" fontId="3" fillId="0" borderId="0" xfId="0" applyFont="1" applyAlignment="1">
      <alignment vertical="center"/>
    </xf>
    <xf numFmtId="164" fontId="0" fillId="0" borderId="0" xfId="1" applyNumberFormat="1" applyFont="1"/>
    <xf numFmtId="164" fontId="1" fillId="0" borderId="0" xfId="1" applyNumberFormat="1" applyFont="1" applyAlignment="1"/>
    <xf numFmtId="164" fontId="0" fillId="0" borderId="0" xfId="1" applyNumberFormat="1" applyFont="1" applyAlignment="1"/>
    <xf numFmtId="164" fontId="0" fillId="0" borderId="0" xfId="0" applyNumberFormat="1"/>
    <xf numFmtId="10" fontId="0" fillId="0" borderId="0" xfId="1" applyNumberFormat="1" applyFont="1" applyAlignment="1"/>
    <xf numFmtId="44" fontId="0" fillId="0" borderId="0" xfId="1" applyFont="1"/>
    <xf numFmtId="9" fontId="0" fillId="0" borderId="0" xfId="0" applyNumberFormat="1"/>
    <xf numFmtId="9" fontId="0" fillId="0" borderId="0" xfId="2" applyFont="1" applyFill="1" applyBorder="1"/>
    <xf numFmtId="164" fontId="5" fillId="0" borderId="0" xfId="1" applyNumberFormat="1" applyFont="1" applyAlignment="1"/>
    <xf numFmtId="6" fontId="0" fillId="0" borderId="0" xfId="0" applyNumberFormat="1"/>
    <xf numFmtId="9" fontId="0" fillId="0" borderId="0" xfId="2" applyFont="1" applyFill="1" applyBorder="1" applyAlignment="1">
      <alignment horizontal="center"/>
    </xf>
    <xf numFmtId="164" fontId="5" fillId="0" borderId="0" xfId="1" applyNumberFormat="1" applyFont="1" applyFill="1" applyAlignment="1"/>
    <xf numFmtId="0" fontId="0" fillId="6" borderId="0" xfId="0" applyFill="1"/>
    <xf numFmtId="0" fontId="0" fillId="6" borderId="0" xfId="0" applyFill="1" applyAlignment="1">
      <alignment horizontal="right"/>
    </xf>
    <xf numFmtId="9" fontId="0" fillId="6" borderId="0" xfId="2" applyFont="1" applyFill="1" applyBorder="1" applyAlignment="1">
      <alignment horizontal="center"/>
    </xf>
    <xf numFmtId="164" fontId="5" fillId="6" borderId="0" xfId="1" applyNumberFormat="1" applyFont="1" applyFill="1" applyAlignment="1"/>
    <xf numFmtId="164" fontId="0" fillId="6" borderId="0" xfId="1" applyNumberFormat="1" applyFont="1" applyFill="1"/>
    <xf numFmtId="0" fontId="0" fillId="3" borderId="2" xfId="0" applyFill="1" applyBorder="1" applyAlignment="1" applyProtection="1">
      <alignment horizontal="center" vertical="center"/>
      <protection locked="0"/>
    </xf>
    <xf numFmtId="0" fontId="7" fillId="0" borderId="0" xfId="0" applyFont="1"/>
    <xf numFmtId="0" fontId="11" fillId="0" borderId="0" xfId="0" applyFont="1"/>
    <xf numFmtId="0" fontId="0" fillId="0" borderId="0" xfId="0" applyAlignment="1">
      <alignment horizontal="left"/>
    </xf>
    <xf numFmtId="0" fontId="5" fillId="0" borderId="0" xfId="0" applyFont="1"/>
    <xf numFmtId="164" fontId="5" fillId="0" borderId="0" xfId="1" applyNumberFormat="1" applyFont="1" applyProtection="1"/>
    <xf numFmtId="165" fontId="0" fillId="3" borderId="2" xfId="1" applyNumberFormat="1" applyFont="1" applyFill="1" applyBorder="1" applyAlignment="1" applyProtection="1">
      <alignment horizontal="center" vertical="center"/>
    </xf>
    <xf numFmtId="10" fontId="9" fillId="3" borderId="2" xfId="0" applyNumberFormat="1" applyFont="1" applyFill="1" applyBorder="1" applyAlignment="1">
      <alignment horizontal="center" vertical="center"/>
    </xf>
    <xf numFmtId="165" fontId="0" fillId="3" borderId="2" xfId="0" applyNumberFormat="1" applyFill="1" applyBorder="1" applyAlignment="1">
      <alignment horizontal="center" vertical="center"/>
    </xf>
    <xf numFmtId="165" fontId="0" fillId="0" borderId="0" xfId="0" applyNumberFormat="1"/>
    <xf numFmtId="0" fontId="4" fillId="0" borderId="0" xfId="0" applyFont="1" applyAlignment="1">
      <alignment horizontal="center"/>
    </xf>
    <xf numFmtId="164" fontId="0" fillId="0" borderId="0" xfId="1" applyNumberFormat="1" applyFont="1" applyFill="1" applyBorder="1"/>
    <xf numFmtId="164" fontId="16" fillId="0" borderId="0" xfId="1" applyNumberFormat="1" applyFont="1" applyAlignment="1"/>
    <xf numFmtId="164" fontId="17" fillId="0" borderId="0" xfId="1" applyNumberFormat="1" applyFont="1" applyAlignment="1"/>
    <xf numFmtId="164" fontId="18" fillId="0" borderId="0" xfId="1" applyNumberFormat="1" applyFont="1" applyAlignment="1"/>
    <xf numFmtId="0" fontId="0" fillId="10" borderId="2" xfId="0" applyFill="1" applyBorder="1" applyAlignment="1" applyProtection="1">
      <alignment horizontal="center" vertical="center"/>
      <protection locked="0"/>
    </xf>
    <xf numFmtId="0" fontId="13" fillId="8" borderId="2" xfId="0" applyFont="1" applyFill="1" applyBorder="1" applyAlignment="1" applyProtection="1">
      <alignment horizontal="center"/>
      <protection locked="0"/>
    </xf>
    <xf numFmtId="0" fontId="20" fillId="0" borderId="0" xfId="0" applyFont="1"/>
    <xf numFmtId="10" fontId="20" fillId="0" borderId="0" xfId="2" applyNumberFormat="1" applyFont="1" applyBorder="1"/>
    <xf numFmtId="0" fontId="23" fillId="0" borderId="0" xfId="0" applyFont="1" applyAlignment="1">
      <alignment horizontal="center" wrapText="1"/>
    </xf>
    <xf numFmtId="11" fontId="23" fillId="0" borderId="0" xfId="0" applyNumberFormat="1" applyFont="1" applyAlignment="1">
      <alignment horizontal="center" wrapText="1"/>
    </xf>
    <xf numFmtId="0" fontId="0" fillId="13" borderId="2" xfId="0" applyFill="1" applyBorder="1" applyAlignment="1" applyProtection="1">
      <alignment horizontal="center" vertical="center"/>
      <protection locked="0"/>
    </xf>
    <xf numFmtId="165" fontId="0" fillId="13" borderId="2" xfId="0" applyNumberFormat="1" applyFill="1" applyBorder="1" applyAlignment="1">
      <alignment horizontal="center" vertical="center"/>
    </xf>
    <xf numFmtId="10" fontId="8" fillId="13" borderId="2" xfId="0" applyNumberFormat="1" applyFont="1" applyFill="1" applyBorder="1" applyAlignment="1">
      <alignment horizontal="center" vertical="center" wrapText="1"/>
    </xf>
    <xf numFmtId="10" fontId="9" fillId="13" borderId="2" xfId="0" applyNumberFormat="1" applyFont="1" applyFill="1" applyBorder="1" applyAlignment="1">
      <alignment horizontal="center" vertical="center" wrapText="1"/>
    </xf>
    <xf numFmtId="165" fontId="10" fillId="13" borderId="2" xfId="0" applyNumberFormat="1" applyFont="1" applyFill="1" applyBorder="1" applyAlignment="1">
      <alignment horizontal="center" vertical="center" wrapText="1"/>
    </xf>
    <xf numFmtId="0" fontId="0" fillId="15" borderId="2" xfId="0" applyFill="1" applyBorder="1" applyAlignment="1" applyProtection="1">
      <alignment horizontal="center" vertical="center"/>
      <protection locked="0"/>
    </xf>
    <xf numFmtId="165" fontId="0" fillId="15" borderId="2" xfId="0" applyNumberFormat="1" applyFill="1" applyBorder="1" applyAlignment="1">
      <alignment horizontal="center" vertical="center"/>
    </xf>
    <xf numFmtId="10" fontId="9" fillId="15" borderId="2" xfId="0" applyNumberFormat="1" applyFont="1" applyFill="1" applyBorder="1" applyAlignment="1">
      <alignment horizontal="center" vertical="center" wrapText="1"/>
    </xf>
    <xf numFmtId="165" fontId="10" fillId="15" borderId="2" xfId="0" applyNumberFormat="1" applyFont="1" applyFill="1" applyBorder="1" applyAlignment="1">
      <alignment horizontal="center" vertical="center" wrapText="1"/>
    </xf>
    <xf numFmtId="0" fontId="0" fillId="10" borderId="2" xfId="0" applyFill="1" applyBorder="1" applyAlignment="1">
      <alignment horizontal="center"/>
    </xf>
    <xf numFmtId="165" fontId="0" fillId="10" borderId="2" xfId="0" applyNumberFormat="1" applyFill="1" applyBorder="1" applyAlignment="1">
      <alignment horizontal="center"/>
    </xf>
    <xf numFmtId="0" fontId="0" fillId="18" borderId="2" xfId="0" applyFill="1" applyBorder="1" applyAlignment="1" applyProtection="1">
      <alignment horizontal="center" vertical="center"/>
      <protection locked="0"/>
    </xf>
    <xf numFmtId="165" fontId="0" fillId="18" borderId="2" xfId="1" applyNumberFormat="1" applyFont="1" applyFill="1" applyBorder="1" applyAlignment="1" applyProtection="1">
      <alignment horizontal="center" vertical="center"/>
    </xf>
    <xf numFmtId="10" fontId="9" fillId="18" borderId="2" xfId="0" applyNumberFormat="1" applyFont="1" applyFill="1" applyBorder="1" applyAlignment="1">
      <alignment horizontal="center" vertical="center"/>
    </xf>
    <xf numFmtId="165" fontId="0" fillId="18" borderId="2" xfId="0" applyNumberFormat="1" applyFill="1" applyBorder="1" applyAlignment="1">
      <alignment horizontal="center" vertical="center"/>
    </xf>
    <xf numFmtId="9" fontId="5" fillId="14" borderId="2" xfId="2" applyFont="1" applyFill="1" applyBorder="1" applyAlignment="1" applyProtection="1">
      <alignment horizontal="center"/>
      <protection locked="0"/>
    </xf>
    <xf numFmtId="9" fontId="5" fillId="17" borderId="2" xfId="2" applyFont="1" applyFill="1" applyBorder="1" applyAlignment="1" applyProtection="1">
      <alignment horizontal="center"/>
      <protection locked="0"/>
    </xf>
    <xf numFmtId="9" fontId="5" fillId="17" borderId="2" xfId="2" applyFont="1" applyFill="1" applyBorder="1" applyAlignment="1" applyProtection="1">
      <alignment horizontal="center"/>
    </xf>
    <xf numFmtId="9" fontId="5" fillId="19" borderId="2" xfId="2" applyFont="1" applyFill="1" applyBorder="1" applyAlignment="1" applyProtection="1">
      <alignment horizontal="center"/>
      <protection locked="0"/>
    </xf>
    <xf numFmtId="9" fontId="5" fillId="19" borderId="2" xfId="2" applyFont="1" applyFill="1" applyBorder="1" applyAlignment="1" applyProtection="1">
      <alignment horizontal="center"/>
    </xf>
    <xf numFmtId="10" fontId="5" fillId="10" borderId="2" xfId="2" applyNumberFormat="1" applyFont="1" applyFill="1" applyBorder="1" applyAlignment="1" applyProtection="1">
      <alignment horizontal="center"/>
      <protection locked="0"/>
    </xf>
    <xf numFmtId="0" fontId="5" fillId="10" borderId="2" xfId="0" applyFont="1" applyFill="1" applyBorder="1" applyAlignment="1" applyProtection="1">
      <alignment horizontal="center"/>
      <protection locked="0"/>
    </xf>
    <xf numFmtId="164" fontId="5" fillId="10" borderId="2" xfId="0" applyNumberFormat="1" applyFont="1" applyFill="1" applyBorder="1" applyAlignment="1" applyProtection="1">
      <alignment horizontal="center"/>
      <protection locked="0"/>
    </xf>
    <xf numFmtId="0" fontId="0" fillId="10" borderId="2" xfId="0" applyFill="1" applyBorder="1" applyAlignment="1">
      <alignment horizontal="center" vertical="center"/>
    </xf>
    <xf numFmtId="0" fontId="2" fillId="5" borderId="2" xfId="2" applyNumberFormat="1" applyFont="1" applyFill="1" applyBorder="1" applyAlignment="1" applyProtection="1">
      <alignment horizontal="center"/>
      <protection locked="0"/>
    </xf>
    <xf numFmtId="9" fontId="5" fillId="7" borderId="2" xfId="2" applyFont="1" applyFill="1" applyBorder="1" applyAlignment="1" applyProtection="1">
      <alignment horizontal="center"/>
      <protection locked="0"/>
    </xf>
    <xf numFmtId="164" fontId="6" fillId="7" borderId="2" xfId="2" applyNumberFormat="1" applyFont="1" applyFill="1" applyBorder="1" applyAlignment="1">
      <alignment horizontal="center"/>
    </xf>
    <xf numFmtId="164" fontId="6" fillId="17" borderId="2" xfId="2" applyNumberFormat="1" applyFont="1" applyFill="1" applyBorder="1" applyAlignment="1">
      <alignment horizontal="center"/>
    </xf>
    <xf numFmtId="164" fontId="6" fillId="19" borderId="2" xfId="2" applyNumberFormat="1" applyFont="1" applyFill="1" applyBorder="1" applyAlignment="1">
      <alignment horizontal="center"/>
    </xf>
    <xf numFmtId="164" fontId="6" fillId="14" borderId="2" xfId="2" applyNumberFormat="1" applyFont="1" applyFill="1" applyBorder="1" applyAlignment="1">
      <alignment horizontal="center"/>
    </xf>
    <xf numFmtId="44" fontId="3" fillId="0" borderId="0" xfId="1" applyFont="1" applyAlignment="1">
      <alignment horizontal="center" vertical="center"/>
    </xf>
    <xf numFmtId="44" fontId="3" fillId="0" borderId="0" xfId="1" applyFont="1" applyAlignment="1">
      <alignment vertical="center"/>
    </xf>
    <xf numFmtId="0" fontId="0" fillId="0" borderId="0" xfId="0" applyAlignment="1">
      <alignment horizontal="center"/>
    </xf>
    <xf numFmtId="0" fontId="29" fillId="0" borderId="0" xfId="0" applyFont="1"/>
    <xf numFmtId="0" fontId="30" fillId="0" borderId="0" xfId="0" applyFont="1" applyAlignment="1">
      <alignment horizontal="left" vertical="top" wrapText="1"/>
    </xf>
    <xf numFmtId="0" fontId="7" fillId="0" borderId="0" xfId="0" applyFont="1" applyAlignment="1">
      <alignment horizontal="center"/>
    </xf>
    <xf numFmtId="10" fontId="8" fillId="15" borderId="2" xfId="0" applyNumberFormat="1" applyFont="1" applyFill="1" applyBorder="1" applyAlignment="1">
      <alignment horizontal="center" vertical="center" wrapText="1"/>
    </xf>
    <xf numFmtId="44" fontId="13" fillId="0" borderId="0" xfId="1" applyFont="1" applyFill="1" applyBorder="1" applyAlignment="1">
      <alignment horizontal="center"/>
    </xf>
    <xf numFmtId="0" fontId="13" fillId="0" borderId="0" xfId="0" applyFont="1" applyAlignment="1">
      <alignment horizontal="center"/>
    </xf>
    <xf numFmtId="164" fontId="13" fillId="0" borderId="0" xfId="1" applyNumberFormat="1" applyFont="1" applyFill="1" applyBorder="1" applyAlignment="1">
      <alignment horizontal="center"/>
    </xf>
    <xf numFmtId="164" fontId="1" fillId="0" borderId="0" xfId="1" applyNumberFormat="1" applyFont="1"/>
    <xf numFmtId="9" fontId="5" fillId="0" borderId="0" xfId="2" applyFont="1" applyFill="1" applyBorder="1"/>
    <xf numFmtId="0" fontId="34" fillId="10" borderId="2" xfId="0" applyFont="1" applyFill="1" applyBorder="1" applyAlignment="1" applyProtection="1">
      <alignment horizontal="center" vertical="center"/>
      <protection locked="0"/>
    </xf>
    <xf numFmtId="0" fontId="34" fillId="13" borderId="2" xfId="0" applyFont="1" applyFill="1" applyBorder="1" applyAlignment="1" applyProtection="1">
      <alignment horizontal="center" vertical="center"/>
      <protection locked="0"/>
    </xf>
    <xf numFmtId="0" fontId="34" fillId="15" borderId="2" xfId="0" applyFont="1" applyFill="1" applyBorder="1" applyAlignment="1" applyProtection="1">
      <alignment horizontal="center" vertical="center"/>
      <protection locked="0"/>
    </xf>
    <xf numFmtId="0" fontId="34" fillId="18" borderId="2" xfId="0" applyFont="1" applyFill="1" applyBorder="1" applyAlignment="1" applyProtection="1">
      <alignment horizontal="center" vertical="center"/>
      <protection locked="0"/>
    </xf>
    <xf numFmtId="164" fontId="11" fillId="7" borderId="2" xfId="1" applyNumberFormat="1" applyFont="1" applyFill="1" applyBorder="1" applyAlignment="1" applyProtection="1">
      <alignment horizontal="center" vertical="center"/>
      <protection locked="0"/>
    </xf>
    <xf numFmtId="0" fontId="11" fillId="7" borderId="2" xfId="0"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protection locked="0"/>
    </xf>
    <xf numFmtId="0" fontId="34" fillId="0" borderId="0" xfId="0" applyFont="1"/>
    <xf numFmtId="0" fontId="34" fillId="10" borderId="2" xfId="0" applyFont="1" applyFill="1" applyBorder="1"/>
    <xf numFmtId="0" fontId="7" fillId="10" borderId="2" xfId="0" applyFont="1" applyFill="1" applyBorder="1" applyAlignment="1">
      <alignment horizontal="center" vertical="center"/>
    </xf>
    <xf numFmtId="165" fontId="7" fillId="13" borderId="2" xfId="0" applyNumberFormat="1" applyFont="1" applyFill="1" applyBorder="1" applyAlignment="1">
      <alignment horizontal="center" vertical="center"/>
    </xf>
    <xf numFmtId="10" fontId="36" fillId="13" borderId="2" xfId="0" applyNumberFormat="1" applyFont="1" applyFill="1" applyBorder="1" applyAlignment="1">
      <alignment horizontal="center" vertical="center" wrapText="1"/>
    </xf>
    <xf numFmtId="10" fontId="37" fillId="13" borderId="2" xfId="0" applyNumberFormat="1" applyFont="1" applyFill="1" applyBorder="1" applyAlignment="1">
      <alignment horizontal="center" vertical="center" wrapText="1"/>
    </xf>
    <xf numFmtId="165" fontId="38" fillId="13" borderId="2" xfId="0" applyNumberFormat="1" applyFont="1" applyFill="1" applyBorder="1" applyAlignment="1">
      <alignment horizontal="center" vertical="center" wrapText="1"/>
    </xf>
    <xf numFmtId="165" fontId="7" fillId="15" borderId="2" xfId="0" applyNumberFormat="1" applyFont="1" applyFill="1" applyBorder="1" applyAlignment="1">
      <alignment horizontal="center" vertical="center"/>
    </xf>
    <xf numFmtId="10" fontId="37" fillId="15" borderId="2" xfId="0" applyNumberFormat="1" applyFont="1" applyFill="1" applyBorder="1" applyAlignment="1">
      <alignment horizontal="center" vertical="center" wrapText="1"/>
    </xf>
    <xf numFmtId="165" fontId="38" fillId="15" borderId="2" xfId="0" applyNumberFormat="1" applyFont="1" applyFill="1" applyBorder="1" applyAlignment="1">
      <alignment horizontal="center" vertical="center" wrapText="1"/>
    </xf>
    <xf numFmtId="165" fontId="7" fillId="18" borderId="2" xfId="1" applyNumberFormat="1" applyFont="1" applyFill="1" applyBorder="1" applyAlignment="1" applyProtection="1">
      <alignment horizontal="center" vertical="center"/>
    </xf>
    <xf numFmtId="10" fontId="37" fillId="18" borderId="2" xfId="0" applyNumberFormat="1" applyFont="1" applyFill="1" applyBorder="1" applyAlignment="1">
      <alignment horizontal="center" vertical="center"/>
    </xf>
    <xf numFmtId="165" fontId="7" fillId="18" borderId="2" xfId="0" applyNumberFormat="1" applyFont="1" applyFill="1" applyBorder="1" applyAlignment="1">
      <alignment horizontal="center" vertical="center"/>
    </xf>
    <xf numFmtId="165" fontId="35" fillId="7" borderId="2" xfId="0" applyNumberFormat="1" applyFont="1" applyFill="1" applyBorder="1" applyAlignment="1">
      <alignment horizontal="center" vertical="center"/>
    </xf>
    <xf numFmtId="10" fontId="39" fillId="7" borderId="2" xfId="0" applyNumberFormat="1" applyFont="1" applyFill="1" applyBorder="1" applyAlignment="1">
      <alignment horizontal="center" vertical="center"/>
    </xf>
    <xf numFmtId="165" fontId="7" fillId="3" borderId="2" xfId="1" applyNumberFormat="1" applyFont="1" applyFill="1" applyBorder="1" applyAlignment="1" applyProtection="1">
      <alignment horizontal="center" vertical="center"/>
    </xf>
    <xf numFmtId="10" fontId="37" fillId="3" borderId="2" xfId="0" applyNumberFormat="1" applyFont="1" applyFill="1" applyBorder="1" applyAlignment="1">
      <alignment horizontal="center" vertical="center"/>
    </xf>
    <xf numFmtId="165" fontId="7" fillId="3" borderId="2" xfId="0" applyNumberFormat="1" applyFont="1" applyFill="1" applyBorder="1" applyAlignment="1">
      <alignment horizontal="center" vertical="center"/>
    </xf>
    <xf numFmtId="0" fontId="7" fillId="10" borderId="2" xfId="0" applyFont="1" applyFill="1" applyBorder="1" applyAlignment="1">
      <alignment horizontal="center"/>
    </xf>
    <xf numFmtId="165" fontId="7" fillId="10" borderId="2" xfId="0" applyNumberFormat="1" applyFont="1" applyFill="1" applyBorder="1" applyAlignment="1">
      <alignment horizontal="center"/>
    </xf>
    <xf numFmtId="0" fontId="35" fillId="0" borderId="0" xfId="0" applyFont="1" applyAlignment="1">
      <alignment horizontal="center" vertical="center"/>
    </xf>
    <xf numFmtId="165" fontId="4" fillId="15" borderId="6" xfId="0" applyNumberFormat="1" applyFont="1" applyFill="1" applyBorder="1" applyAlignment="1">
      <alignment horizontal="center" vertical="center"/>
    </xf>
    <xf numFmtId="165" fontId="4" fillId="18" borderId="6" xfId="1" applyNumberFormat="1" applyFont="1" applyFill="1" applyBorder="1" applyAlignment="1" applyProtection="1">
      <alignment horizontal="center" vertical="center"/>
    </xf>
    <xf numFmtId="165" fontId="4" fillId="7" borderId="6" xfId="0" applyNumberFormat="1" applyFont="1" applyFill="1" applyBorder="1" applyAlignment="1">
      <alignment horizontal="center" vertical="center"/>
    </xf>
    <xf numFmtId="9" fontId="39" fillId="0" borderId="0" xfId="0" applyNumberFormat="1" applyFont="1" applyAlignment="1">
      <alignment horizontal="center" vertical="center"/>
    </xf>
    <xf numFmtId="165" fontId="4" fillId="3" borderId="6" xfId="1" applyNumberFormat="1" applyFont="1" applyFill="1" applyBorder="1" applyAlignment="1" applyProtection="1">
      <alignment horizontal="center" vertical="center"/>
    </xf>
    <xf numFmtId="0" fontId="35" fillId="0" borderId="0" xfId="0" applyFont="1"/>
    <xf numFmtId="164" fontId="7" fillId="0" borderId="0" xfId="1" applyNumberFormat="1" applyFont="1" applyProtection="1"/>
    <xf numFmtId="0" fontId="35" fillId="5" borderId="12" xfId="0" applyFont="1" applyFill="1" applyBorder="1" applyAlignment="1">
      <alignment horizontal="right"/>
    </xf>
    <xf numFmtId="10" fontId="35" fillId="4" borderId="7" xfId="0" applyNumberFormat="1" applyFont="1" applyFill="1" applyBorder="1" applyAlignment="1">
      <alignment horizontal="left"/>
    </xf>
    <xf numFmtId="0" fontId="35" fillId="3" borderId="12" xfId="0" applyFont="1" applyFill="1" applyBorder="1" applyAlignment="1">
      <alignment horizontal="right"/>
    </xf>
    <xf numFmtId="0" fontId="35" fillId="7" borderId="12" xfId="0" applyFont="1" applyFill="1" applyBorder="1" applyAlignment="1">
      <alignment horizontal="right"/>
    </xf>
    <xf numFmtId="10" fontId="35" fillId="7" borderId="12" xfId="0" applyNumberFormat="1" applyFont="1" applyFill="1" applyBorder="1" applyAlignment="1">
      <alignment horizontal="left"/>
    </xf>
    <xf numFmtId="0" fontId="35" fillId="0" borderId="0" xfId="0" applyFont="1" applyAlignment="1">
      <alignment horizontal="right"/>
    </xf>
    <xf numFmtId="10" fontId="35" fillId="0" borderId="0" xfId="0" applyNumberFormat="1" applyFont="1" applyAlignment="1">
      <alignment horizontal="left"/>
    </xf>
    <xf numFmtId="166" fontId="7" fillId="0" borderId="0" xfId="2" applyNumberFormat="1" applyFont="1"/>
    <xf numFmtId="0" fontId="34" fillId="10" borderId="2" xfId="0" applyFont="1" applyFill="1" applyBorder="1" applyAlignment="1" applyProtection="1">
      <alignment horizontal="center"/>
      <protection locked="0"/>
    </xf>
    <xf numFmtId="165" fontId="34" fillId="10" borderId="2" xfId="0" applyNumberFormat="1" applyFont="1" applyFill="1" applyBorder="1" applyAlignment="1" applyProtection="1">
      <alignment horizontal="center"/>
      <protection locked="0"/>
    </xf>
    <xf numFmtId="9" fontId="34" fillId="14" borderId="2" xfId="2" applyFont="1" applyFill="1" applyBorder="1" applyAlignment="1" applyProtection="1">
      <alignment horizontal="center"/>
      <protection locked="0"/>
    </xf>
    <xf numFmtId="9" fontId="34" fillId="7" borderId="2" xfId="2" applyFont="1" applyFill="1" applyBorder="1" applyAlignment="1" applyProtection="1">
      <alignment horizontal="center"/>
      <protection locked="0"/>
    </xf>
    <xf numFmtId="9" fontId="34" fillId="17" borderId="2" xfId="2" applyFont="1" applyFill="1" applyBorder="1" applyAlignment="1" applyProtection="1">
      <alignment horizontal="center"/>
      <protection locked="0"/>
    </xf>
    <xf numFmtId="9" fontId="34" fillId="17" borderId="2" xfId="2" applyFont="1" applyFill="1" applyBorder="1" applyAlignment="1" applyProtection="1">
      <alignment horizontal="center"/>
    </xf>
    <xf numFmtId="9" fontId="34" fillId="19" borderId="2" xfId="2" applyFont="1" applyFill="1" applyBorder="1" applyAlignment="1" applyProtection="1">
      <alignment horizontal="center"/>
      <protection locked="0"/>
    </xf>
    <xf numFmtId="9" fontId="34" fillId="19" borderId="2" xfId="2" applyFont="1" applyFill="1" applyBorder="1" applyAlignment="1" applyProtection="1">
      <alignment horizontal="center"/>
    </xf>
    <xf numFmtId="10" fontId="34" fillId="10" borderId="2" xfId="2" applyNumberFormat="1" applyFont="1" applyFill="1" applyBorder="1" applyAlignment="1" applyProtection="1">
      <alignment horizontal="center"/>
      <protection locked="0"/>
    </xf>
    <xf numFmtId="164" fontId="35" fillId="14" borderId="2" xfId="2" applyNumberFormat="1" applyFont="1" applyFill="1" applyBorder="1" applyAlignment="1">
      <alignment horizontal="center"/>
    </xf>
    <xf numFmtId="165" fontId="35" fillId="14" borderId="2" xfId="2" applyNumberFormat="1" applyFont="1" applyFill="1" applyBorder="1" applyAlignment="1">
      <alignment horizontal="center"/>
    </xf>
    <xf numFmtId="164" fontId="35" fillId="7" borderId="2" xfId="2" applyNumberFormat="1" applyFont="1" applyFill="1" applyBorder="1" applyAlignment="1">
      <alignment horizontal="center"/>
    </xf>
    <xf numFmtId="165" fontId="35" fillId="7" borderId="2" xfId="2" applyNumberFormat="1" applyFont="1" applyFill="1" applyBorder="1" applyAlignment="1">
      <alignment horizontal="center"/>
    </xf>
    <xf numFmtId="164" fontId="35" fillId="17" borderId="2" xfId="2" applyNumberFormat="1" applyFont="1" applyFill="1" applyBorder="1" applyAlignment="1">
      <alignment horizontal="center"/>
    </xf>
    <xf numFmtId="165" fontId="35" fillId="17" borderId="2" xfId="2" applyNumberFormat="1" applyFont="1" applyFill="1" applyBorder="1" applyAlignment="1">
      <alignment horizontal="center"/>
    </xf>
    <xf numFmtId="164" fontId="35" fillId="19" borderId="2" xfId="2" applyNumberFormat="1" applyFont="1" applyFill="1" applyBorder="1" applyAlignment="1">
      <alignment horizontal="center"/>
    </xf>
    <xf numFmtId="165" fontId="35" fillId="19" borderId="2" xfId="2" applyNumberFormat="1" applyFont="1" applyFill="1" applyBorder="1" applyAlignment="1">
      <alignment horizontal="center"/>
    </xf>
    <xf numFmtId="0" fontId="35" fillId="5" borderId="2" xfId="2" applyNumberFormat="1" applyFont="1" applyFill="1" applyBorder="1" applyAlignment="1" applyProtection="1">
      <alignment horizontal="center"/>
      <protection locked="0"/>
    </xf>
    <xf numFmtId="10" fontId="36" fillId="15" borderId="2" xfId="0" applyNumberFormat="1" applyFont="1" applyFill="1" applyBorder="1" applyAlignment="1">
      <alignment horizontal="center" vertical="center" wrapText="1"/>
    </xf>
    <xf numFmtId="0" fontId="40" fillId="21" borderId="2" xfId="0" applyFont="1" applyFill="1" applyBorder="1" applyAlignment="1" applyProtection="1">
      <alignment horizontal="center" vertical="center"/>
      <protection locked="0"/>
    </xf>
    <xf numFmtId="8" fontId="35" fillId="13" borderId="2" xfId="0" applyNumberFormat="1" applyFont="1" applyFill="1" applyBorder="1" applyAlignment="1">
      <alignment horizontal="center" vertical="center"/>
    </xf>
    <xf numFmtId="10" fontId="35" fillId="13" borderId="2" xfId="0" applyNumberFormat="1" applyFont="1" applyFill="1" applyBorder="1" applyAlignment="1">
      <alignment horizontal="center" vertical="center"/>
    </xf>
    <xf numFmtId="10" fontId="35" fillId="0" borderId="0" xfId="0" applyNumberFormat="1" applyFont="1" applyAlignment="1">
      <alignment horizontal="left" vertical="center"/>
    </xf>
    <xf numFmtId="10" fontId="35" fillId="15" borderId="2" xfId="0" applyNumberFormat="1" applyFont="1" applyFill="1" applyBorder="1" applyAlignment="1">
      <alignment horizontal="center" vertical="center"/>
    </xf>
    <xf numFmtId="8" fontId="35" fillId="18" borderId="2" xfId="0" applyNumberFormat="1" applyFont="1" applyFill="1" applyBorder="1" applyAlignment="1">
      <alignment horizontal="center" vertical="center"/>
    </xf>
    <xf numFmtId="10" fontId="35" fillId="18" borderId="2" xfId="0" applyNumberFormat="1" applyFont="1" applyFill="1" applyBorder="1" applyAlignment="1">
      <alignment horizontal="center" vertical="center"/>
    </xf>
    <xf numFmtId="8" fontId="35" fillId="7" borderId="11" xfId="0" applyNumberFormat="1" applyFont="1" applyFill="1" applyBorder="1" applyAlignment="1">
      <alignment horizontal="right" vertical="center"/>
    </xf>
    <xf numFmtId="10" fontId="35" fillId="7" borderId="10" xfId="0" applyNumberFormat="1" applyFont="1" applyFill="1" applyBorder="1" applyAlignment="1">
      <alignment horizontal="left" vertical="center"/>
    </xf>
    <xf numFmtId="8" fontId="35" fillId="3" borderId="2" xfId="0" applyNumberFormat="1" applyFont="1" applyFill="1" applyBorder="1" applyAlignment="1">
      <alignment horizontal="center" vertical="center"/>
    </xf>
    <xf numFmtId="10" fontId="35" fillId="3" borderId="2" xfId="0" applyNumberFormat="1" applyFont="1" applyFill="1" applyBorder="1" applyAlignment="1">
      <alignment horizontal="center" vertical="center"/>
    </xf>
    <xf numFmtId="165" fontId="35" fillId="13" borderId="6" xfId="0" applyNumberFormat="1" applyFont="1" applyFill="1" applyBorder="1" applyAlignment="1">
      <alignment horizontal="center" vertical="center"/>
    </xf>
    <xf numFmtId="0" fontId="7" fillId="10" borderId="13" xfId="0" applyFont="1" applyFill="1" applyBorder="1" applyAlignment="1">
      <alignment horizontal="center" vertical="center"/>
    </xf>
    <xf numFmtId="165" fontId="7" fillId="13" borderId="13" xfId="0" applyNumberFormat="1" applyFont="1" applyFill="1" applyBorder="1" applyAlignment="1">
      <alignment horizontal="center" vertical="center"/>
    </xf>
    <xf numFmtId="10" fontId="36" fillId="13" borderId="13" xfId="0" applyNumberFormat="1" applyFont="1" applyFill="1" applyBorder="1" applyAlignment="1">
      <alignment horizontal="center" vertical="center" wrapText="1"/>
    </xf>
    <xf numFmtId="10" fontId="37" fillId="13" borderId="13" xfId="0" applyNumberFormat="1" applyFont="1" applyFill="1" applyBorder="1" applyAlignment="1">
      <alignment horizontal="center" vertical="center" wrapText="1"/>
    </xf>
    <xf numFmtId="165" fontId="38" fillId="13" borderId="13" xfId="0" applyNumberFormat="1" applyFont="1" applyFill="1" applyBorder="1" applyAlignment="1">
      <alignment horizontal="center" vertical="center" wrapText="1"/>
    </xf>
    <xf numFmtId="165" fontId="7" fillId="15" borderId="13" xfId="0" applyNumberFormat="1" applyFont="1" applyFill="1" applyBorder="1" applyAlignment="1">
      <alignment horizontal="center" vertical="center"/>
    </xf>
    <xf numFmtId="10" fontId="36" fillId="15" borderId="13" xfId="0" applyNumberFormat="1" applyFont="1" applyFill="1" applyBorder="1" applyAlignment="1">
      <alignment horizontal="center" vertical="center" wrapText="1"/>
    </xf>
    <xf numFmtId="10" fontId="37" fillId="15" borderId="13" xfId="0" applyNumberFormat="1" applyFont="1" applyFill="1" applyBorder="1" applyAlignment="1">
      <alignment horizontal="center" vertical="center" wrapText="1"/>
    </xf>
    <xf numFmtId="165" fontId="7" fillId="18" borderId="13" xfId="0" applyNumberFormat="1" applyFont="1" applyFill="1" applyBorder="1" applyAlignment="1">
      <alignment horizontal="center" vertical="center"/>
    </xf>
    <xf numFmtId="10" fontId="37" fillId="18" borderId="13" xfId="0" applyNumberFormat="1" applyFont="1" applyFill="1" applyBorder="1" applyAlignment="1">
      <alignment horizontal="center" vertical="center"/>
    </xf>
    <xf numFmtId="165" fontId="35" fillId="7" borderId="13" xfId="0" applyNumberFormat="1" applyFont="1" applyFill="1" applyBorder="1" applyAlignment="1">
      <alignment horizontal="center" vertical="center"/>
    </xf>
    <xf numFmtId="10" fontId="39" fillId="7" borderId="13" xfId="0" applyNumberFormat="1" applyFont="1" applyFill="1" applyBorder="1" applyAlignment="1">
      <alignment horizontal="center" vertical="center"/>
    </xf>
    <xf numFmtId="165" fontId="7" fillId="3" borderId="13" xfId="0" applyNumberFormat="1" applyFont="1" applyFill="1" applyBorder="1" applyAlignment="1">
      <alignment horizontal="center" vertical="center"/>
    </xf>
    <xf numFmtId="10" fontId="37" fillId="3" borderId="13" xfId="0" applyNumberFormat="1" applyFont="1" applyFill="1" applyBorder="1" applyAlignment="1">
      <alignment horizontal="center" vertical="center"/>
    </xf>
    <xf numFmtId="0" fontId="4" fillId="10" borderId="6" xfId="0" applyFont="1" applyFill="1" applyBorder="1" applyAlignment="1">
      <alignment horizontal="center"/>
    </xf>
    <xf numFmtId="165" fontId="4" fillId="10" borderId="6" xfId="0" applyNumberFormat="1" applyFont="1" applyFill="1" applyBorder="1" applyAlignment="1">
      <alignment horizontal="center"/>
    </xf>
    <xf numFmtId="0" fontId="7" fillId="10" borderId="13" xfId="0" applyFont="1" applyFill="1" applyBorder="1" applyAlignment="1">
      <alignment horizontal="center"/>
    </xf>
    <xf numFmtId="165" fontId="7" fillId="10" borderId="13" xfId="0" applyNumberFormat="1" applyFont="1" applyFill="1" applyBorder="1" applyAlignment="1">
      <alignment horizontal="center"/>
    </xf>
    <xf numFmtId="165" fontId="4" fillId="13" borderId="6" xfId="0" applyNumberFormat="1" applyFont="1" applyFill="1" applyBorder="1" applyAlignment="1">
      <alignment horizontal="center" vertical="center"/>
    </xf>
    <xf numFmtId="0" fontId="20" fillId="0" borderId="2" xfId="0" applyFont="1" applyBorder="1" applyAlignment="1">
      <alignment horizontal="center"/>
    </xf>
    <xf numFmtId="0" fontId="21" fillId="0" borderId="2" xfId="0" applyFont="1" applyBorder="1" applyAlignment="1">
      <alignment horizontal="center" vertical="center"/>
    </xf>
    <xf numFmtId="10" fontId="22" fillId="0" borderId="2" xfId="0" applyNumberFormat="1" applyFont="1" applyBorder="1" applyAlignment="1">
      <alignment horizontal="center" vertical="center"/>
    </xf>
    <xf numFmtId="10" fontId="14" fillId="0" borderId="2" xfId="0" applyNumberFormat="1" applyFont="1" applyBorder="1" applyAlignment="1">
      <alignment horizontal="center" vertical="center"/>
    </xf>
    <xf numFmtId="167" fontId="20" fillId="0" borderId="2" xfId="2" applyNumberFormat="1" applyFont="1" applyBorder="1" applyAlignment="1">
      <alignment horizontal="center"/>
    </xf>
    <xf numFmtId="0" fontId="21" fillId="12" borderId="2" xfId="0" applyFont="1" applyFill="1" applyBorder="1" applyAlignment="1">
      <alignment horizontal="center" vertical="center"/>
    </xf>
    <xf numFmtId="167" fontId="20" fillId="0" borderId="2" xfId="2" applyNumberFormat="1" applyFont="1" applyFill="1" applyBorder="1" applyAlignment="1">
      <alignment horizontal="center"/>
    </xf>
    <xf numFmtId="167" fontId="20" fillId="0" borderId="2" xfId="2" applyNumberFormat="1" applyFont="1" applyFill="1" applyBorder="1" applyAlignment="1">
      <alignment horizontal="center" wrapText="1"/>
    </xf>
    <xf numFmtId="0" fontId="24" fillId="0" borderId="2" xfId="0" applyFont="1" applyBorder="1" applyAlignment="1">
      <alignment horizontal="center"/>
    </xf>
    <xf numFmtId="10" fontId="0" fillId="0" borderId="2" xfId="2" applyNumberFormat="1" applyFont="1" applyBorder="1" applyAlignment="1">
      <alignment horizontal="center"/>
    </xf>
    <xf numFmtId="10" fontId="0" fillId="0" borderId="2" xfId="2" applyNumberFormat="1" applyFont="1" applyFill="1" applyBorder="1" applyAlignment="1">
      <alignment horizontal="center"/>
    </xf>
    <xf numFmtId="10" fontId="24" fillId="0" borderId="2" xfId="2" applyNumberFormat="1" applyFont="1" applyBorder="1" applyAlignment="1">
      <alignment horizontal="center"/>
    </xf>
    <xf numFmtId="0" fontId="24" fillId="3" borderId="2" xfId="0" applyFont="1" applyFill="1" applyBorder="1" applyAlignment="1">
      <alignment horizontal="center"/>
    </xf>
    <xf numFmtId="0" fontId="24" fillId="11" borderId="2" xfId="0" applyFont="1" applyFill="1" applyBorder="1" applyAlignment="1">
      <alignment horizontal="center"/>
    </xf>
    <xf numFmtId="10" fontId="0" fillId="22" borderId="2" xfId="2" applyNumberFormat="1" applyFont="1" applyFill="1" applyBorder="1" applyAlignment="1">
      <alignment horizontal="center"/>
    </xf>
    <xf numFmtId="165" fontId="4" fillId="3" borderId="14" xfId="0" applyNumberFormat="1" applyFont="1" applyFill="1" applyBorder="1" applyAlignment="1">
      <alignment horizontal="center" vertical="center"/>
    </xf>
    <xf numFmtId="165" fontId="41" fillId="15" borderId="14" xfId="0" applyNumberFormat="1" applyFont="1" applyFill="1" applyBorder="1" applyAlignment="1">
      <alignment horizontal="center" vertical="center" wrapText="1"/>
    </xf>
    <xf numFmtId="165" fontId="4" fillId="18" borderId="14" xfId="0" applyNumberFormat="1" applyFont="1" applyFill="1" applyBorder="1" applyAlignment="1">
      <alignment horizontal="center" vertical="center"/>
    </xf>
    <xf numFmtId="165" fontId="38" fillId="15" borderId="13" xfId="0" applyNumberFormat="1" applyFont="1" applyFill="1" applyBorder="1" applyAlignment="1">
      <alignment horizontal="center" vertical="center" wrapText="1"/>
    </xf>
    <xf numFmtId="0" fontId="32" fillId="21" borderId="8" xfId="0" applyFont="1" applyFill="1" applyBorder="1" applyAlignment="1">
      <alignment horizontal="center" vertical="center"/>
    </xf>
    <xf numFmtId="0" fontId="32" fillId="21" borderId="7" xfId="0" applyFont="1" applyFill="1" applyBorder="1" applyAlignment="1">
      <alignment horizontal="center" vertical="center"/>
    </xf>
    <xf numFmtId="0" fontId="32" fillId="21" borderId="9" xfId="0" applyFont="1" applyFill="1" applyBorder="1" applyAlignment="1">
      <alignment horizontal="center" vertical="center"/>
    </xf>
    <xf numFmtId="44" fontId="31" fillId="21" borderId="10" xfId="1" applyFont="1" applyFill="1" applyBorder="1" applyAlignment="1">
      <alignment horizontal="center" vertical="center"/>
    </xf>
    <xf numFmtId="44" fontId="31" fillId="21" borderId="1" xfId="1" applyFont="1" applyFill="1" applyBorder="1" applyAlignment="1">
      <alignment horizontal="center" vertical="center"/>
    </xf>
    <xf numFmtId="44" fontId="31" fillId="21" borderId="11" xfId="1" applyFont="1" applyFill="1" applyBorder="1" applyAlignment="1">
      <alignment horizontal="center" vertical="center"/>
    </xf>
    <xf numFmtId="44" fontId="25" fillId="21" borderId="2" xfId="1" applyFont="1" applyFill="1" applyBorder="1" applyAlignment="1">
      <alignment horizontal="center" vertical="center"/>
    </xf>
    <xf numFmtId="0" fontId="11" fillId="19" borderId="2" xfId="0" applyFont="1" applyFill="1" applyBorder="1" applyAlignment="1" applyProtection="1">
      <alignment horizontal="right"/>
      <protection locked="0"/>
    </xf>
    <xf numFmtId="0" fontId="11" fillId="19" borderId="3" xfId="0" applyFont="1" applyFill="1" applyBorder="1" applyAlignment="1" applyProtection="1">
      <alignment horizontal="right"/>
      <protection locked="0"/>
    </xf>
    <xf numFmtId="0" fontId="11" fillId="10" borderId="2" xfId="0" applyFont="1" applyFill="1" applyBorder="1" applyAlignment="1">
      <alignment horizontal="center"/>
    </xf>
    <xf numFmtId="0" fontId="11" fillId="10" borderId="3" xfId="0" applyFont="1" applyFill="1" applyBorder="1" applyAlignment="1">
      <alignment horizontal="center"/>
    </xf>
    <xf numFmtId="0" fontId="11" fillId="19" borderId="3" xfId="0" applyFont="1" applyFill="1" applyBorder="1" applyAlignment="1">
      <alignment horizontal="center"/>
    </xf>
    <xf numFmtId="0" fontId="11" fillId="19" borderId="5" xfId="0" applyFont="1" applyFill="1" applyBorder="1" applyAlignment="1">
      <alignment horizontal="center"/>
    </xf>
    <xf numFmtId="0" fontId="11" fillId="10" borderId="2" xfId="0" applyFont="1" applyFill="1" applyBorder="1" applyAlignment="1" applyProtection="1">
      <alignment horizontal="center"/>
      <protection locked="0"/>
    </xf>
    <xf numFmtId="0" fontId="11" fillId="10" borderId="3" xfId="0" applyFont="1" applyFill="1" applyBorder="1" applyAlignment="1" applyProtection="1">
      <alignment horizontal="center"/>
      <protection locked="0"/>
    </xf>
    <xf numFmtId="0" fontId="11" fillId="10" borderId="4" xfId="0" applyFont="1" applyFill="1" applyBorder="1" applyAlignment="1" applyProtection="1">
      <alignment horizontal="center"/>
      <protection locked="0"/>
    </xf>
    <xf numFmtId="0" fontId="11" fillId="14" borderId="2" xfId="0" applyFont="1" applyFill="1" applyBorder="1" applyAlignment="1" applyProtection="1">
      <alignment horizontal="right"/>
      <protection locked="0"/>
    </xf>
    <xf numFmtId="0" fontId="11" fillId="14" borderId="3" xfId="0" applyFont="1" applyFill="1" applyBorder="1" applyAlignment="1" applyProtection="1">
      <alignment horizontal="right"/>
      <protection locked="0"/>
    </xf>
    <xf numFmtId="0" fontId="11" fillId="7" borderId="3" xfId="0" applyFont="1" applyFill="1" applyBorder="1" applyAlignment="1" applyProtection="1">
      <alignment horizontal="right"/>
      <protection locked="0"/>
    </xf>
    <xf numFmtId="0" fontId="11" fillId="7" borderId="5" xfId="0" applyFont="1" applyFill="1" applyBorder="1" applyAlignment="1" applyProtection="1">
      <alignment horizontal="right"/>
      <protection locked="0"/>
    </xf>
    <xf numFmtId="0" fontId="11" fillId="17" borderId="2" xfId="0" applyFont="1" applyFill="1" applyBorder="1" applyAlignment="1" applyProtection="1">
      <alignment horizontal="right"/>
      <protection locked="0"/>
    </xf>
    <xf numFmtId="0" fontId="11" fillId="17" borderId="3" xfId="0" applyFont="1" applyFill="1" applyBorder="1" applyAlignment="1" applyProtection="1">
      <alignment horizontal="right"/>
      <protection locked="0"/>
    </xf>
    <xf numFmtId="0" fontId="11" fillId="17" borderId="3" xfId="0" applyFont="1" applyFill="1" applyBorder="1" applyAlignment="1">
      <alignment horizontal="center"/>
    </xf>
    <xf numFmtId="0" fontId="11" fillId="17" borderId="5" xfId="0" applyFont="1" applyFill="1" applyBorder="1" applyAlignment="1">
      <alignment horizontal="center"/>
    </xf>
    <xf numFmtId="0" fontId="13" fillId="21" borderId="3" xfId="0" applyFont="1" applyFill="1" applyBorder="1" applyAlignment="1">
      <alignment horizontal="center"/>
    </xf>
    <xf numFmtId="0" fontId="13" fillId="21" borderId="4" xfId="0" applyFont="1" applyFill="1" applyBorder="1" applyAlignment="1">
      <alignment horizontal="center"/>
    </xf>
    <xf numFmtId="0" fontId="11" fillId="17" borderId="4" xfId="0" applyFont="1" applyFill="1" applyBorder="1" applyAlignment="1">
      <alignment horizontal="center"/>
    </xf>
    <xf numFmtId="0" fontId="11" fillId="22" borderId="2" xfId="0" applyFont="1" applyFill="1" applyBorder="1" applyAlignment="1">
      <alignment horizontal="center"/>
    </xf>
    <xf numFmtId="0" fontId="30" fillId="0" borderId="0" xfId="0" applyFont="1" applyAlignment="1">
      <alignment horizontal="center" vertical="top" wrapText="1"/>
    </xf>
    <xf numFmtId="0" fontId="30" fillId="0" borderId="0" xfId="0" applyFont="1" applyAlignment="1">
      <alignment horizontal="center" vertical="top"/>
    </xf>
    <xf numFmtId="0" fontId="25" fillId="16" borderId="2" xfId="0" applyFont="1" applyFill="1" applyBorder="1" applyAlignment="1" applyProtection="1">
      <alignment horizontal="center"/>
      <protection locked="0"/>
    </xf>
    <xf numFmtId="0" fontId="25" fillId="21" borderId="2" xfId="0" applyFont="1" applyFill="1" applyBorder="1" applyAlignment="1">
      <alignment horizontal="center"/>
    </xf>
    <xf numFmtId="0" fontId="35" fillId="10" borderId="10" xfId="0" applyFont="1" applyFill="1" applyBorder="1" applyAlignment="1">
      <alignment horizontal="center"/>
    </xf>
    <xf numFmtId="0" fontId="35" fillId="10" borderId="11" xfId="0" applyFont="1" applyFill="1" applyBorder="1" applyAlignment="1">
      <alignment horizontal="center"/>
    </xf>
    <xf numFmtId="10" fontId="35" fillId="5" borderId="8" xfId="0" applyNumberFormat="1" applyFont="1" applyFill="1" applyBorder="1" applyAlignment="1">
      <alignment horizontal="left"/>
    </xf>
    <xf numFmtId="10" fontId="35" fillId="5" borderId="7" xfId="0" applyNumberFormat="1" applyFont="1" applyFill="1" applyBorder="1" applyAlignment="1">
      <alignment horizontal="left"/>
    </xf>
    <xf numFmtId="10" fontId="35" fillId="3" borderId="8" xfId="0" applyNumberFormat="1" applyFont="1" applyFill="1" applyBorder="1" applyAlignment="1">
      <alignment horizontal="left"/>
    </xf>
    <xf numFmtId="10" fontId="35" fillId="3" borderId="9" xfId="0" applyNumberFormat="1" applyFont="1" applyFill="1" applyBorder="1" applyAlignment="1">
      <alignment horizontal="left"/>
    </xf>
    <xf numFmtId="10" fontId="35" fillId="3" borderId="7" xfId="0" applyNumberFormat="1" applyFont="1" applyFill="1" applyBorder="1" applyAlignment="1">
      <alignment horizontal="left"/>
    </xf>
    <xf numFmtId="0" fontId="7" fillId="10" borderId="2" xfId="0" applyFont="1" applyFill="1" applyBorder="1" applyAlignment="1" applyProtection="1">
      <alignment horizontal="center"/>
      <protection locked="0"/>
    </xf>
    <xf numFmtId="0" fontId="25" fillId="20" borderId="2" xfId="0" applyFont="1" applyFill="1" applyBorder="1" applyAlignment="1" applyProtection="1">
      <alignment horizontal="center"/>
      <protection locked="0"/>
    </xf>
    <xf numFmtId="0" fontId="25" fillId="9" borderId="3" xfId="0" applyFont="1" applyFill="1" applyBorder="1" applyAlignment="1" applyProtection="1">
      <alignment horizontal="center"/>
      <protection locked="0"/>
    </xf>
    <xf numFmtId="0" fontId="25" fillId="9" borderId="5" xfId="0" applyFont="1" applyFill="1" applyBorder="1" applyAlignment="1" applyProtection="1">
      <alignment horizontal="center"/>
      <protection locked="0"/>
    </xf>
    <xf numFmtId="0" fontId="25" fillId="9" borderId="4" xfId="0" applyFont="1" applyFill="1" applyBorder="1" applyAlignment="1" applyProtection="1">
      <alignment horizontal="center"/>
      <protection locked="0"/>
    </xf>
    <xf numFmtId="0" fontId="25" fillId="17" borderId="2" xfId="0" applyFont="1" applyFill="1" applyBorder="1" applyAlignment="1" applyProtection="1">
      <alignment horizontal="center"/>
      <protection locked="0"/>
    </xf>
    <xf numFmtId="0" fontId="25" fillId="2" borderId="2" xfId="0" applyFont="1" applyFill="1" applyBorder="1" applyAlignment="1" applyProtection="1">
      <alignment horizontal="center"/>
      <protection locked="0"/>
    </xf>
    <xf numFmtId="0" fontId="23" fillId="0" borderId="0" xfId="0" applyFont="1" applyAlignment="1">
      <alignment horizontal="center" wrapText="1"/>
    </xf>
    <xf numFmtId="0" fontId="2" fillId="10" borderId="3" xfId="0" applyFont="1" applyFill="1" applyBorder="1" applyAlignment="1" applyProtection="1">
      <alignment horizontal="right"/>
      <protection locked="0"/>
    </xf>
    <xf numFmtId="0" fontId="2" fillId="10" borderId="5" xfId="0" applyFont="1" applyFill="1" applyBorder="1" applyAlignment="1" applyProtection="1">
      <alignment horizontal="right"/>
      <protection locked="0"/>
    </xf>
    <xf numFmtId="0" fontId="32" fillId="8" borderId="8" xfId="0" applyFont="1" applyFill="1" applyBorder="1" applyAlignment="1">
      <alignment horizontal="center" vertical="center"/>
    </xf>
    <xf numFmtId="0" fontId="32" fillId="8" borderId="7" xfId="0" applyFont="1" applyFill="1" applyBorder="1" applyAlignment="1">
      <alignment horizontal="center" vertical="center"/>
    </xf>
    <xf numFmtId="0" fontId="32" fillId="8" borderId="9" xfId="0" applyFont="1" applyFill="1" applyBorder="1" applyAlignment="1">
      <alignment horizontal="center" vertical="center"/>
    </xf>
    <xf numFmtId="44" fontId="31" fillId="8" borderId="10" xfId="1" applyFont="1" applyFill="1" applyBorder="1" applyAlignment="1">
      <alignment horizontal="center" vertical="center"/>
    </xf>
    <xf numFmtId="44" fontId="31" fillId="8" borderId="1" xfId="1" applyFont="1" applyFill="1" applyBorder="1" applyAlignment="1">
      <alignment horizontal="center" vertical="center"/>
    </xf>
    <xf numFmtId="44" fontId="31" fillId="8" borderId="11" xfId="1" applyFont="1" applyFill="1" applyBorder="1" applyAlignment="1">
      <alignment horizontal="center" vertical="center"/>
    </xf>
    <xf numFmtId="44" fontId="15" fillId="8" borderId="2" xfId="1" applyFont="1" applyFill="1" applyBorder="1" applyAlignment="1">
      <alignment horizontal="center"/>
    </xf>
    <xf numFmtId="0" fontId="2" fillId="10" borderId="2" xfId="0" applyFont="1" applyFill="1" applyBorder="1" applyAlignment="1" applyProtection="1">
      <alignment horizontal="right"/>
      <protection locked="0"/>
    </xf>
    <xf numFmtId="0" fontId="19" fillId="21" borderId="2" xfId="0" applyFont="1" applyFill="1" applyBorder="1" applyAlignment="1">
      <alignment horizontal="center"/>
    </xf>
    <xf numFmtId="0" fontId="2" fillId="19" borderId="2" xfId="0" applyFont="1" applyFill="1" applyBorder="1" applyAlignment="1" applyProtection="1">
      <alignment horizontal="right"/>
      <protection locked="0"/>
    </xf>
    <xf numFmtId="0" fontId="2" fillId="19" borderId="3" xfId="0" applyFont="1" applyFill="1" applyBorder="1" applyAlignment="1" applyProtection="1">
      <alignment horizontal="right"/>
      <protection locked="0"/>
    </xf>
    <xf numFmtId="0" fontId="2" fillId="19" borderId="3" xfId="0" applyFont="1" applyFill="1" applyBorder="1" applyAlignment="1">
      <alignment horizontal="center"/>
    </xf>
    <xf numFmtId="0" fontId="2" fillId="19" borderId="5" xfId="0" applyFont="1" applyFill="1" applyBorder="1" applyAlignment="1">
      <alignment horizontal="center"/>
    </xf>
    <xf numFmtId="0" fontId="2" fillId="10" borderId="2" xfId="0" applyFont="1" applyFill="1" applyBorder="1" applyAlignment="1">
      <alignment horizontal="center"/>
    </xf>
    <xf numFmtId="0" fontId="2" fillId="10" borderId="3" xfId="0" applyFont="1" applyFill="1" applyBorder="1" applyAlignment="1">
      <alignment horizontal="center"/>
    </xf>
    <xf numFmtId="0" fontId="13" fillId="8" borderId="3" xfId="0" applyFont="1" applyFill="1" applyBorder="1" applyAlignment="1">
      <alignment horizontal="center"/>
    </xf>
    <xf numFmtId="0" fontId="13" fillId="8" borderId="4" xfId="0" applyFont="1" applyFill="1" applyBorder="1" applyAlignment="1">
      <alignment horizontal="center"/>
    </xf>
    <xf numFmtId="0" fontId="2" fillId="14" borderId="2" xfId="0" applyFont="1" applyFill="1" applyBorder="1" applyAlignment="1" applyProtection="1">
      <alignment horizontal="right"/>
      <protection locked="0"/>
    </xf>
    <xf numFmtId="0" fontId="2" fillId="14" borderId="3" xfId="0" applyFont="1" applyFill="1" applyBorder="1" applyAlignment="1" applyProtection="1">
      <alignment horizontal="right"/>
      <protection locked="0"/>
    </xf>
    <xf numFmtId="0" fontId="2" fillId="7" borderId="3" xfId="0" applyFont="1" applyFill="1" applyBorder="1" applyAlignment="1" applyProtection="1">
      <alignment horizontal="right"/>
      <protection locked="0"/>
    </xf>
    <xf numFmtId="0" fontId="2" fillId="7" borderId="5" xfId="0" applyFont="1" applyFill="1" applyBorder="1" applyAlignment="1" applyProtection="1">
      <alignment horizontal="right"/>
      <protection locked="0"/>
    </xf>
    <xf numFmtId="0" fontId="2" fillId="17" borderId="2" xfId="0" applyFont="1" applyFill="1" applyBorder="1" applyAlignment="1" applyProtection="1">
      <alignment horizontal="right"/>
      <protection locked="0"/>
    </xf>
    <xf numFmtId="0" fontId="2" fillId="17" borderId="3" xfId="0" applyFont="1" applyFill="1" applyBorder="1" applyAlignment="1" applyProtection="1">
      <alignment horizontal="right"/>
      <protection locked="0"/>
    </xf>
    <xf numFmtId="0" fontId="2" fillId="17" borderId="3" xfId="0" applyFont="1" applyFill="1" applyBorder="1" applyAlignment="1">
      <alignment horizontal="center"/>
    </xf>
    <xf numFmtId="0" fontId="2" fillId="17" borderId="5" xfId="0" applyFont="1" applyFill="1" applyBorder="1" applyAlignment="1">
      <alignment horizontal="center"/>
    </xf>
    <xf numFmtId="0" fontId="27" fillId="0" borderId="0" xfId="0" applyFont="1" applyAlignment="1">
      <alignment horizontal="center" vertical="top"/>
    </xf>
    <xf numFmtId="0" fontId="27" fillId="0" borderId="0" xfId="0" applyFont="1" applyAlignment="1">
      <alignment horizontal="center" vertical="top" wrapText="1"/>
    </xf>
    <xf numFmtId="0" fontId="28" fillId="0" borderId="0" xfId="0" applyFont="1" applyAlignment="1">
      <alignment horizontal="center"/>
    </xf>
  </cellXfs>
  <cellStyles count="3">
    <cellStyle name="Currency" xfId="1" builtinId="4"/>
    <cellStyle name="Normal" xfId="0" builtinId="0"/>
    <cellStyle name="Percent" xfId="2" builtinId="5"/>
  </cellStyles>
  <dxfs count="6">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DF9FFF"/>
      <color rgb="FFFF7C80"/>
      <color rgb="FFFA4A3C"/>
      <color rgb="FFE90909"/>
      <color rgb="FF9BFA8E"/>
      <color rgb="FFF7B5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Performance</a:t>
            </a:r>
            <a:r>
              <a:rPr lang="en-US" baseline="0"/>
              <a:t> Comparison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lineChart>
        <c:grouping val="standard"/>
        <c:varyColors val="0"/>
        <c:ser>
          <c:idx val="0"/>
          <c:order val="0"/>
          <c:tx>
            <c:strRef>
              <c:f>'Indexing Tool'!$D$19</c:f>
              <c:strCache>
                <c:ptCount val="1"/>
                <c:pt idx="0">
                  <c:v>Growth Bucket (S&amp;P TR Index)</c:v>
                </c:pt>
              </c:strCache>
            </c:strRef>
          </c:tx>
          <c:spPr>
            <a:ln w="38100" cap="rnd">
              <a:solidFill>
                <a:srgbClr val="FF0000"/>
              </a:solidFill>
            </a:ln>
            <a:effectLst>
              <a:glow rad="228600">
                <a:schemeClr val="accent2">
                  <a:satMod val="175000"/>
                  <a:alpha val="40000"/>
                </a:schemeClr>
              </a:glow>
            </a:effectLst>
          </c:spPr>
          <c:marker>
            <c:symbol val="circle"/>
            <c:size val="10"/>
            <c:spPr>
              <a:solidFill>
                <a:srgbClr val="FF0000"/>
              </a:solidFill>
              <a:ln>
                <a:noFill/>
              </a:ln>
              <a:effectLst>
                <a:glow rad="63500">
                  <a:schemeClr val="accent1">
                    <a:satMod val="175000"/>
                    <a:alpha val="25000"/>
                  </a:schemeClr>
                </a:glow>
              </a:effectLst>
            </c:spPr>
          </c:marker>
          <c:cat>
            <c:strRef>
              <c:f>'Indexing Tool'!$U$21:$U$42</c:f>
              <c:strCache>
                <c:ptCount val="22"/>
                <c:pt idx="0">
                  <c:v>Initial</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pt idx="16">
                  <c:v>Year 16</c:v>
                </c:pt>
                <c:pt idx="17">
                  <c:v>Year 17</c:v>
                </c:pt>
                <c:pt idx="18">
                  <c:v>Year 18</c:v>
                </c:pt>
                <c:pt idx="19">
                  <c:v>Year 19</c:v>
                </c:pt>
                <c:pt idx="20">
                  <c:v>Year 20</c:v>
                </c:pt>
                <c:pt idx="21">
                  <c:v>Total</c:v>
                </c:pt>
              </c:strCache>
            </c:strRef>
          </c:cat>
          <c:val>
            <c:numRef>
              <c:f>'Indexing Tool'!$D$21:$D$42</c:f>
              <c:numCache>
                <c:formatCode>"$"#,##0</c:formatCode>
                <c:ptCount val="22"/>
                <c:pt idx="0">
                  <c:v>500000</c:v>
                </c:pt>
                <c:pt idx="1">
                  <c:v>538717.26205473382</c:v>
                </c:pt>
                <c:pt idx="2">
                  <c:v>548150.32337655628</c:v>
                </c:pt>
                <c:pt idx="3">
                  <c:v>615953.40344967472</c:v>
                </c:pt>
                <c:pt idx="4">
                  <c:v>629994.51133596699</c:v>
                </c:pt>
                <c:pt idx="5">
                  <c:v>379661.19601643673</c:v>
                </c:pt>
                <c:pt idx="6">
                  <c:v>463961.89119023894</c:v>
                </c:pt>
                <c:pt idx="7">
                  <c:v>517469.28849170293</c:v>
                </c:pt>
                <c:pt idx="8">
                  <c:v>510984.44788972125</c:v>
                </c:pt>
                <c:pt idx="9">
                  <c:v>573098.13805829652</c:v>
                </c:pt>
                <c:pt idx="10">
                  <c:v>735578.62147927878</c:v>
                </c:pt>
                <c:pt idx="11">
                  <c:v>810170.95569710247</c:v>
                </c:pt>
                <c:pt idx="12">
                  <c:v>794157.11885055422</c:v>
                </c:pt>
                <c:pt idx="13">
                  <c:v>859953.21616116946</c:v>
                </c:pt>
                <c:pt idx="14">
                  <c:v>1016206.4190540593</c:v>
                </c:pt>
                <c:pt idx="15">
                  <c:v>940120.4038509567</c:v>
                </c:pt>
                <c:pt idx="16">
                  <c:v>1199857.5292279415</c:v>
                </c:pt>
                <c:pt idx="17">
                  <c:v>1379943.2225678596</c:v>
                </c:pt>
                <c:pt idx="18">
                  <c:v>1733798.4568062399</c:v>
                </c:pt>
                <c:pt idx="19">
                  <c:v>1375026.5380836027</c:v>
                </c:pt>
                <c:pt idx="20">
                  <c:v>1691007.6365352145</c:v>
                </c:pt>
                <c:pt idx="21">
                  <c:v>2064043.9211548828</c:v>
                </c:pt>
              </c:numCache>
            </c:numRef>
          </c:val>
          <c:smooth val="0"/>
          <c:extLst>
            <c:ext xmlns:c16="http://schemas.microsoft.com/office/drawing/2014/chart" uri="{C3380CC4-5D6E-409C-BE32-E72D297353CC}">
              <c16:uniqueId val="{00000000-4F1F-4714-A166-906FCDCEB882}"/>
            </c:ext>
          </c:extLst>
        </c:ser>
        <c:ser>
          <c:idx val="1"/>
          <c:order val="1"/>
          <c:tx>
            <c:strRef>
              <c:f>'Indexing Tool'!$H$19</c:f>
              <c:strCache>
                <c:ptCount val="1"/>
                <c:pt idx="0">
                  <c:v>Bond Bucket (Agg Index)</c:v>
                </c:pt>
              </c:strCache>
            </c:strRef>
          </c:tx>
          <c:spPr>
            <a:ln w="22225" cap="rnd">
              <a:solidFill>
                <a:schemeClr val="accent2">
                  <a:alpha val="30000"/>
                </a:schemeClr>
              </a:solidFill>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no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'Indexing Tool'!$U$21:$U$42</c:f>
              <c:strCache>
                <c:ptCount val="22"/>
                <c:pt idx="0">
                  <c:v>Initial</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pt idx="16">
                  <c:v>Year 16</c:v>
                </c:pt>
                <c:pt idx="17">
                  <c:v>Year 17</c:v>
                </c:pt>
                <c:pt idx="18">
                  <c:v>Year 18</c:v>
                </c:pt>
                <c:pt idx="19">
                  <c:v>Year 19</c:v>
                </c:pt>
                <c:pt idx="20">
                  <c:v>Year 20</c:v>
                </c:pt>
                <c:pt idx="21">
                  <c:v>Total</c:v>
                </c:pt>
              </c:strCache>
            </c:strRef>
          </c:cat>
          <c:val>
            <c:numRef>
              <c:f>'Indexing Tool'!$H$21:$H$42</c:f>
              <c:numCache>
                <c:formatCode>"$"#,##0</c:formatCode>
                <c:ptCount val="22"/>
                <c:pt idx="0">
                  <c:v>500000</c:v>
                </c:pt>
                <c:pt idx="1">
                  <c:v>515443.93206103181</c:v>
                </c:pt>
                <c:pt idx="2">
                  <c:v>521518.60424293485</c:v>
                </c:pt>
                <c:pt idx="3">
                  <c:v>537601.01411223516</c:v>
                </c:pt>
                <c:pt idx="4">
                  <c:v>568333.63860667252</c:v>
                </c:pt>
                <c:pt idx="5">
                  <c:v>591011.49845672899</c:v>
                </c:pt>
                <c:pt idx="6">
                  <c:v>618673.2176788511</c:v>
                </c:pt>
                <c:pt idx="7">
                  <c:v>651411.61567355436</c:v>
                </c:pt>
                <c:pt idx="8">
                  <c:v>694351.46820743987</c:v>
                </c:pt>
                <c:pt idx="9">
                  <c:v>714937.8178545119</c:v>
                </c:pt>
                <c:pt idx="10">
                  <c:v>691532.91820867069</c:v>
                </c:pt>
                <c:pt idx="11">
                  <c:v>724143.49645690632</c:v>
                </c:pt>
                <c:pt idx="12">
                  <c:v>719074.16657830938</c:v>
                </c:pt>
                <c:pt idx="13">
                  <c:v>729123.06718522706</c:v>
                </c:pt>
                <c:pt idx="14">
                  <c:v>745833.36278172326</c:v>
                </c:pt>
                <c:pt idx="15">
                  <c:v>736595.22063291271</c:v>
                </c:pt>
                <c:pt idx="16">
                  <c:v>791594.5805657832</c:v>
                </c:pt>
                <c:pt idx="17">
                  <c:v>841121.76238332316</c:v>
                </c:pt>
                <c:pt idx="18">
                  <c:v>817638.64191647933</c:v>
                </c:pt>
                <c:pt idx="19">
                  <c:v>701041.18925605679</c:v>
                </c:pt>
                <c:pt idx="20">
                  <c:v>730835.43979943916</c:v>
                </c:pt>
                <c:pt idx="21">
                  <c:v>730835.43979943916</c:v>
                </c:pt>
              </c:numCache>
            </c:numRef>
          </c:val>
          <c:smooth val="0"/>
          <c:extLst>
            <c:ext xmlns:c16="http://schemas.microsoft.com/office/drawing/2014/chart" uri="{C3380CC4-5D6E-409C-BE32-E72D297353CC}">
              <c16:uniqueId val="{00000001-4F1F-4714-A166-906FCDCEB882}"/>
            </c:ext>
          </c:extLst>
        </c:ser>
        <c:ser>
          <c:idx val="2"/>
          <c:order val="2"/>
          <c:tx>
            <c:strRef>
              <c:f>'Indexing Tool'!$L$19</c:f>
              <c:strCache>
                <c:ptCount val="1"/>
                <c:pt idx="0">
                  <c:v>Safe Bucket (Index Annuity Cap)</c:v>
                </c:pt>
              </c:strCache>
            </c:strRef>
          </c:tx>
          <c:spPr>
            <a:ln w="38100" cap="rnd">
              <a:solidFill>
                <a:srgbClr val="00B050"/>
              </a:solidFill>
            </a:ln>
            <a:effectLst>
              <a:glow rad="228600">
                <a:schemeClr val="accent6">
                  <a:satMod val="175000"/>
                  <a:alpha val="40000"/>
                </a:schemeClr>
              </a:glow>
            </a:effectLst>
          </c:spPr>
          <c:marker>
            <c:symbol val="circle"/>
            <c:size val="10"/>
            <c:spPr>
              <a:solidFill>
                <a:schemeClr val="accent6"/>
              </a:solidFill>
              <a:ln>
                <a:noFill/>
              </a:ln>
              <a:effectLst>
                <a:glow rad="63500">
                  <a:schemeClr val="accent3">
                    <a:satMod val="175000"/>
                    <a:alpha val="25000"/>
                  </a:schemeClr>
                </a:glow>
              </a:effectLst>
            </c:spPr>
          </c:marker>
          <c:cat>
            <c:strRef>
              <c:f>'Indexing Tool'!$U$21:$U$42</c:f>
              <c:strCache>
                <c:ptCount val="22"/>
                <c:pt idx="0">
                  <c:v>Initial</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pt idx="16">
                  <c:v>Year 16</c:v>
                </c:pt>
                <c:pt idx="17">
                  <c:v>Year 17</c:v>
                </c:pt>
                <c:pt idx="18">
                  <c:v>Year 18</c:v>
                </c:pt>
                <c:pt idx="19">
                  <c:v>Year 19</c:v>
                </c:pt>
                <c:pt idx="20">
                  <c:v>Year 20</c:v>
                </c:pt>
                <c:pt idx="21">
                  <c:v>Total</c:v>
                </c:pt>
              </c:strCache>
            </c:strRef>
          </c:cat>
          <c:val>
            <c:numRef>
              <c:f>'Indexing Tool'!$L$21:$L$42</c:f>
              <c:numCache>
                <c:formatCode>"$"#,##0</c:formatCode>
                <c:ptCount val="22"/>
                <c:pt idx="0">
                  <c:v>500000</c:v>
                </c:pt>
                <c:pt idx="1">
                  <c:v>544967.26205473382</c:v>
                </c:pt>
                <c:pt idx="2">
                  <c:v>561321.8530683734</c:v>
                </c:pt>
                <c:pt idx="3">
                  <c:v>617454.03837521083</c:v>
                </c:pt>
                <c:pt idx="4">
                  <c:v>639247.52981078008</c:v>
                </c:pt>
                <c:pt idx="5">
                  <c:v>639247.52981078008</c:v>
                </c:pt>
                <c:pt idx="6">
                  <c:v>703172.28279185819</c:v>
                </c:pt>
                <c:pt idx="7">
                  <c:v>773489.51107104402</c:v>
                </c:pt>
                <c:pt idx="8">
                  <c:v>773489.51107104402</c:v>
                </c:pt>
                <c:pt idx="9">
                  <c:v>850838.46217814845</c:v>
                </c:pt>
                <c:pt idx="10">
                  <c:v>935922.3083959634</c:v>
                </c:pt>
                <c:pt idx="11">
                  <c:v>1029514.5392355599</c:v>
                </c:pt>
                <c:pt idx="12">
                  <c:v>1029514.5392355599</c:v>
                </c:pt>
                <c:pt idx="13">
                  <c:v>1127678.9839146514</c:v>
                </c:pt>
                <c:pt idx="14">
                  <c:v>1240446.8823061166</c:v>
                </c:pt>
                <c:pt idx="15">
                  <c:v>1240446.8823061166</c:v>
                </c:pt>
                <c:pt idx="16">
                  <c:v>1364491.5705367285</c:v>
                </c:pt>
                <c:pt idx="17">
                  <c:v>1500940.7275904014</c:v>
                </c:pt>
                <c:pt idx="18">
                  <c:v>1651034.8003494416</c:v>
                </c:pt>
                <c:pt idx="19">
                  <c:v>1651034.8003494416</c:v>
                </c:pt>
                <c:pt idx="20">
                  <c:v>1816138.280384386</c:v>
                </c:pt>
                <c:pt idx="21">
                  <c:v>1997752.1084228246</c:v>
                </c:pt>
              </c:numCache>
            </c:numRef>
          </c:val>
          <c:smooth val="0"/>
          <c:extLst>
            <c:ext xmlns:c16="http://schemas.microsoft.com/office/drawing/2014/chart" uri="{C3380CC4-5D6E-409C-BE32-E72D297353CC}">
              <c16:uniqueId val="{00000002-4F1F-4714-A166-906FCDCEB882}"/>
            </c:ext>
          </c:extLst>
        </c:ser>
        <c:ser>
          <c:idx val="3"/>
          <c:order val="3"/>
          <c:tx>
            <c:strRef>
              <c:f>'Indexing Tool'!$Q$19</c:f>
              <c:strCache>
                <c:ptCount val="1"/>
                <c:pt idx="0">
                  <c:v>Safe Bucket (Index Annuity Par)</c:v>
                </c:pt>
              </c:strCache>
            </c:strRef>
          </c:tx>
          <c:spPr>
            <a:ln w="22225" cap="rnd">
              <a:solidFill>
                <a:schemeClr val="accent6">
                  <a:alpha val="30000"/>
                </a:schemeClr>
              </a:solidFill>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 b="0" i="0" u="none" strike="noStrike" kern="1200" baseline="0">
                    <a:no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'Indexing Tool'!$U$21:$U$42</c:f>
              <c:strCache>
                <c:ptCount val="22"/>
                <c:pt idx="0">
                  <c:v>Initial</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pt idx="16">
                  <c:v>Year 16</c:v>
                </c:pt>
                <c:pt idx="17">
                  <c:v>Year 17</c:v>
                </c:pt>
                <c:pt idx="18">
                  <c:v>Year 18</c:v>
                </c:pt>
                <c:pt idx="19">
                  <c:v>Year 19</c:v>
                </c:pt>
                <c:pt idx="20">
                  <c:v>Year 20</c:v>
                </c:pt>
                <c:pt idx="21">
                  <c:v>Total</c:v>
                </c:pt>
              </c:strCache>
            </c:strRef>
          </c:cat>
          <c:val>
            <c:numRef>
              <c:f>'Indexing Tool'!$Q$21:$Q$42</c:f>
              <c:numCache>
                <c:formatCode>"$"#,##0</c:formatCode>
                <c:ptCount val="22"/>
                <c:pt idx="0">
                  <c:v>500000</c:v>
                </c:pt>
                <c:pt idx="1">
                  <c:v>517986.90482189349</c:v>
                </c:pt>
                <c:pt idx="2">
                  <c:v>524204.86657382885</c:v>
                </c:pt>
                <c:pt idx="3">
                  <c:v>552762.35616249416</c:v>
                </c:pt>
                <c:pt idx="4">
                  <c:v>560566.41666010278</c:v>
                </c:pt>
                <c:pt idx="5">
                  <c:v>560566.41666010278</c:v>
                </c:pt>
                <c:pt idx="6">
                  <c:v>613156.94273095322</c:v>
                </c:pt>
                <c:pt idx="7">
                  <c:v>644508.18171645782</c:v>
                </c:pt>
                <c:pt idx="8">
                  <c:v>644508.18171645782</c:v>
                </c:pt>
                <c:pt idx="9">
                  <c:v>679068.49165153515</c:v>
                </c:pt>
                <c:pt idx="10">
                  <c:v>759473.59524656716</c:v>
                </c:pt>
                <c:pt idx="11">
                  <c:v>794077.13762320159</c:v>
                </c:pt>
                <c:pt idx="12">
                  <c:v>794077.13762320159</c:v>
                </c:pt>
                <c:pt idx="13">
                  <c:v>824363.31165043742</c:v>
                </c:pt>
                <c:pt idx="14">
                  <c:v>888399.74001409719</c:v>
                </c:pt>
                <c:pt idx="15">
                  <c:v>888399.74001409719</c:v>
                </c:pt>
                <c:pt idx="16">
                  <c:v>991020.82033465558</c:v>
                </c:pt>
                <c:pt idx="17">
                  <c:v>1055472.5453923512</c:v>
                </c:pt>
                <c:pt idx="18">
                  <c:v>1169010.7347023063</c:v>
                </c:pt>
                <c:pt idx="19">
                  <c:v>1169010.7347023063</c:v>
                </c:pt>
                <c:pt idx="20">
                  <c:v>1282311.2551096538</c:v>
                </c:pt>
                <c:pt idx="21">
                  <c:v>1401873.9565360779</c:v>
                </c:pt>
              </c:numCache>
            </c:numRef>
          </c:val>
          <c:smooth val="0"/>
          <c:extLst>
            <c:ext xmlns:c16="http://schemas.microsoft.com/office/drawing/2014/chart" uri="{C3380CC4-5D6E-409C-BE32-E72D297353CC}">
              <c16:uniqueId val="{00000003-4F1F-4714-A166-906FCDCEB882}"/>
            </c:ext>
          </c:extLst>
        </c:ser>
        <c:ser>
          <c:idx val="4"/>
          <c:order val="4"/>
          <c:tx>
            <c:strRef>
              <c:f>'Indexing Tool'!$U$19</c:f>
              <c:strCache>
                <c:ptCount val="1"/>
                <c:pt idx="0">
                  <c:v>Total Investment</c:v>
                </c:pt>
              </c:strCache>
            </c:strRef>
          </c:tx>
          <c:spPr>
            <a:ln w="22225" cap="rnd">
              <a:solidFill>
                <a:schemeClr val="accent1">
                  <a:alpha val="60000"/>
                </a:schemeClr>
              </a:solidFill>
              <a:prstDash val="sysDot"/>
            </a:ln>
            <a:effectLst/>
          </c:spPr>
          <c:marker>
            <c:symbol val="none"/>
          </c:marker>
          <c:cat>
            <c:strRef>
              <c:f>'Indexing Tool'!$U$21:$U$42</c:f>
              <c:strCache>
                <c:ptCount val="22"/>
                <c:pt idx="0">
                  <c:v>Initial</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pt idx="16">
                  <c:v>Year 16</c:v>
                </c:pt>
                <c:pt idx="17">
                  <c:v>Year 17</c:v>
                </c:pt>
                <c:pt idx="18">
                  <c:v>Year 18</c:v>
                </c:pt>
                <c:pt idx="19">
                  <c:v>Year 19</c:v>
                </c:pt>
                <c:pt idx="20">
                  <c:v>Year 20</c:v>
                </c:pt>
                <c:pt idx="21">
                  <c:v>Total</c:v>
                </c:pt>
              </c:strCache>
            </c:strRef>
          </c:cat>
          <c:val>
            <c:numRef>
              <c:f>'Indexing Tool'!$V$21:$V$42</c:f>
              <c:numCache>
                <c:formatCode>"$"#,##0</c:formatCode>
                <c:ptCount val="22"/>
                <c:pt idx="0">
                  <c:v>2000000</c:v>
                </c:pt>
                <c:pt idx="1">
                  <c:v>2117115.360992393</c:v>
                </c:pt>
                <c:pt idx="2">
                  <c:v>2155195.6472616936</c:v>
                </c:pt>
                <c:pt idx="3">
                  <c:v>2323770.8120996146</c:v>
                </c:pt>
                <c:pt idx="4">
                  <c:v>2398142.096413522</c:v>
                </c:pt>
                <c:pt idx="5">
                  <c:v>2170486.6409440488</c:v>
                </c:pt>
                <c:pt idx="6">
                  <c:v>2398964.3343919013</c:v>
                </c:pt>
                <c:pt idx="7">
                  <c:v>2586878.5969527592</c:v>
                </c:pt>
                <c:pt idx="8">
                  <c:v>2623333.6088846629</c:v>
                </c:pt>
                <c:pt idx="9">
                  <c:v>2817942.9097424918</c:v>
                </c:pt>
                <c:pt idx="10">
                  <c:v>3122507.4433304798</c:v>
                </c:pt>
                <c:pt idx="11">
                  <c:v>3357906.12901277</c:v>
                </c:pt>
                <c:pt idx="12">
                  <c:v>3336822.9622876248</c:v>
                </c:pt>
                <c:pt idx="13">
                  <c:v>3541118.5789114852</c:v>
                </c:pt>
                <c:pt idx="14">
                  <c:v>3890886.4041559962</c:v>
                </c:pt>
                <c:pt idx="15">
                  <c:v>3805562.2468040832</c:v>
                </c:pt>
                <c:pt idx="16">
                  <c:v>4346964.5006651087</c:v>
                </c:pt>
                <c:pt idx="17">
                  <c:v>4777478.2579339352</c:v>
                </c:pt>
                <c:pt idx="18">
                  <c:v>5371482.6337744668</c:v>
                </c:pt>
                <c:pt idx="19">
                  <c:v>4896113.262391407</c:v>
                </c:pt>
                <c:pt idx="20">
                  <c:v>5520292.6118286932</c:v>
                </c:pt>
                <c:pt idx="21">
                  <c:v>6194505.4259132249</c:v>
                </c:pt>
              </c:numCache>
            </c:numRef>
          </c:val>
          <c:smooth val="0"/>
          <c:extLst>
            <c:ext xmlns:c16="http://schemas.microsoft.com/office/drawing/2014/chart" uri="{C3380CC4-5D6E-409C-BE32-E72D297353CC}">
              <c16:uniqueId val="{00000004-4F1F-4714-A166-906FCDCEB882}"/>
            </c:ext>
          </c:extLst>
        </c:ser>
        <c:dLbls>
          <c:showLegendKey val="0"/>
          <c:showVal val="0"/>
          <c:showCatName val="0"/>
          <c:showSerName val="0"/>
          <c:showPercent val="0"/>
          <c:showBubbleSize val="0"/>
        </c:dLbls>
        <c:marker val="1"/>
        <c:smooth val="0"/>
        <c:axId val="1607694928"/>
        <c:axId val="1607693488"/>
      </c:lineChart>
      <c:catAx>
        <c:axId val="16076949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607693488"/>
        <c:crosses val="autoZero"/>
        <c:auto val="1"/>
        <c:lblAlgn val="ctr"/>
        <c:lblOffset val="100"/>
        <c:noMultiLvlLbl val="0"/>
      </c:catAx>
      <c:valAx>
        <c:axId val="160769348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minorGridlines>
          <c: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a:effectLst/>
          </c:spPr>
        </c:minorGridlines>
        <c:numFmt formatCode="&quot;$&quot;#,##0" sourceLinked="1"/>
        <c:majorTickMark val="none"/>
        <c:minorTickMark val="none"/>
        <c:tickLblPos val="nextTo"/>
        <c:spPr>
          <a:noFill/>
          <a:ln>
            <a:noFill/>
          </a:ln>
          <a:effectLst/>
        </c:spPr>
        <c:txPr>
          <a:bodyPr rot="-5400000" spcFirstLastPara="1" vertOverflow="ellipsis" wrap="square" anchor="ctr" anchorCtr="1"/>
          <a:lstStyle/>
          <a:p>
            <a:pPr>
              <a:defRPr sz="1800" b="0" i="0" u="none" strike="noStrike" kern="1200" baseline="0">
                <a:solidFill>
                  <a:schemeClr val="bg1"/>
                </a:solidFill>
                <a:latin typeface="+mn-lt"/>
                <a:ea typeface="+mn-ea"/>
                <a:cs typeface="+mn-cs"/>
              </a:defRPr>
            </a:pPr>
            <a:endParaRPr lang="en-US"/>
          </a:p>
        </c:txPr>
        <c:crossAx val="1607694928"/>
        <c:crosses val="autoZero"/>
        <c:crossBetween val="between"/>
      </c:valAx>
      <c:dTable>
        <c:showHorzBorder val="1"/>
        <c:showVertBorder val="1"/>
        <c:showOutline val="1"/>
        <c:showKeys val="1"/>
        <c:spPr>
          <a:noFill/>
          <a:ln w="9525">
            <a:solidFill>
              <a:schemeClr val="dk1">
                <a:lumMod val="50000"/>
                <a:lumOff val="50000"/>
              </a:schemeClr>
            </a:solidFill>
          </a:ln>
          <a:effectLst/>
        </c:spPr>
        <c:txPr>
          <a:bodyPr rot="0" spcFirstLastPara="1" vertOverflow="ellipsis" vert="horz" wrap="square" anchor="ctr" anchorCtr="1"/>
          <a:lstStyle/>
          <a:p>
            <a:pPr rtl="0">
              <a:defRPr sz="1600" b="0" i="0" u="none" strike="noStrike" kern="1200" baseline="0">
                <a:solidFill>
                  <a:schemeClr val="bg1"/>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73241</xdr:colOff>
      <xdr:row>11</xdr:row>
      <xdr:rowOff>136922</xdr:rowOff>
    </xdr:from>
    <xdr:to>
      <xdr:col>11</xdr:col>
      <xdr:colOff>351234</xdr:colOff>
      <xdr:row>17</xdr:row>
      <xdr:rowOff>160735</xdr:rowOff>
    </xdr:to>
    <xdr:sp macro="" textlink="">
      <xdr:nvSpPr>
        <xdr:cNvPr id="2" name="Arrow: Right 1">
          <a:extLst>
            <a:ext uri="{FF2B5EF4-FFF2-40B4-BE49-F238E27FC236}">
              <a16:creationId xmlns:a16="http://schemas.microsoft.com/office/drawing/2014/main" id="{C475184E-CD3E-5080-C955-48B25E6AE36B}"/>
            </a:ext>
          </a:extLst>
        </xdr:cNvPr>
        <xdr:cNvSpPr/>
      </xdr:nvSpPr>
      <xdr:spPr>
        <a:xfrm flipH="1">
          <a:off x="7103882" y="2434828"/>
          <a:ext cx="2397305" cy="1166813"/>
        </a:xfrm>
        <a:prstGeom prst="rightArrow">
          <a:avLst/>
        </a:prstGeom>
        <a:solidFill>
          <a:srgbClr val="FF7C8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aseline="0">
              <a:solidFill>
                <a:schemeClr val="tx1"/>
              </a:solidFill>
            </a:rPr>
            <a:t>Select an initial investment year from the dropdown menu. Years go back 20 years (2003-2023 in this case).</a:t>
          </a:r>
        </a:p>
      </xdr:txBody>
    </xdr:sp>
    <xdr:clientData/>
  </xdr:twoCellAnchor>
  <xdr:twoCellAnchor>
    <xdr:from>
      <xdr:col>8</xdr:col>
      <xdr:colOff>90487</xdr:colOff>
      <xdr:row>7</xdr:row>
      <xdr:rowOff>138961</xdr:rowOff>
    </xdr:from>
    <xdr:to>
      <xdr:col>12</xdr:col>
      <xdr:colOff>89297</xdr:colOff>
      <xdr:row>11</xdr:row>
      <xdr:rowOff>41672</xdr:rowOff>
    </xdr:to>
    <xdr:sp macro="" textlink="">
      <xdr:nvSpPr>
        <xdr:cNvPr id="3" name="Arrow: Right 2">
          <a:extLst>
            <a:ext uri="{FF2B5EF4-FFF2-40B4-BE49-F238E27FC236}">
              <a16:creationId xmlns:a16="http://schemas.microsoft.com/office/drawing/2014/main" id="{9E7D99C9-C1E0-46D3-B5AA-615233DB8377}"/>
            </a:ext>
          </a:extLst>
        </xdr:cNvPr>
        <xdr:cNvSpPr/>
      </xdr:nvSpPr>
      <xdr:spPr>
        <a:xfrm flipH="1">
          <a:off x="7121128" y="1674867"/>
          <a:ext cx="2624138" cy="664711"/>
        </a:xfrm>
        <a:prstGeom prst="rightArrow">
          <a:avLst/>
        </a:prstGeom>
        <a:solidFill>
          <a:srgbClr val="FF7C8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Set withdrawl amounts from each account</a:t>
          </a:r>
        </a:p>
      </xdr:txBody>
    </xdr:sp>
    <xdr:clientData/>
  </xdr:twoCellAnchor>
  <xdr:twoCellAnchor>
    <xdr:from>
      <xdr:col>2</xdr:col>
      <xdr:colOff>535948</xdr:colOff>
      <xdr:row>6</xdr:row>
      <xdr:rowOff>6269</xdr:rowOff>
    </xdr:from>
    <xdr:to>
      <xdr:col>3</xdr:col>
      <xdr:colOff>628003</xdr:colOff>
      <xdr:row>8</xdr:row>
      <xdr:rowOff>35098</xdr:rowOff>
    </xdr:to>
    <xdr:sp macro="" textlink="">
      <xdr:nvSpPr>
        <xdr:cNvPr id="5" name="Arrow: Right 4">
          <a:extLst>
            <a:ext uri="{FF2B5EF4-FFF2-40B4-BE49-F238E27FC236}">
              <a16:creationId xmlns:a16="http://schemas.microsoft.com/office/drawing/2014/main" id="{FD21429C-104E-4D34-ABE5-6CF15E5891BD}"/>
            </a:ext>
          </a:extLst>
        </xdr:cNvPr>
        <xdr:cNvSpPr/>
      </xdr:nvSpPr>
      <xdr:spPr>
        <a:xfrm rot="20761524" flipH="1">
          <a:off x="1803964" y="1351675"/>
          <a:ext cx="1127898" cy="409829"/>
        </a:xfrm>
        <a:prstGeom prst="rightArrow">
          <a:avLst/>
        </a:prstGeom>
        <a:solidFill>
          <a:srgbClr val="FF7C8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aseline="0">
              <a:solidFill>
                <a:schemeClr val="tx1"/>
              </a:solidFill>
            </a:rPr>
            <a:t>Inputs here</a:t>
          </a:r>
        </a:p>
      </xdr:txBody>
    </xdr:sp>
    <xdr:clientData/>
  </xdr:twoCellAnchor>
  <xdr:twoCellAnchor>
    <xdr:from>
      <xdr:col>3</xdr:col>
      <xdr:colOff>577453</xdr:colOff>
      <xdr:row>5</xdr:row>
      <xdr:rowOff>35719</xdr:rowOff>
    </xdr:from>
    <xdr:to>
      <xdr:col>5</xdr:col>
      <xdr:colOff>184547</xdr:colOff>
      <xdr:row>16</xdr:row>
      <xdr:rowOff>5953</xdr:rowOff>
    </xdr:to>
    <xdr:sp macro="" textlink="">
      <xdr:nvSpPr>
        <xdr:cNvPr id="8" name="Rectangle 7">
          <a:extLst>
            <a:ext uri="{FF2B5EF4-FFF2-40B4-BE49-F238E27FC236}">
              <a16:creationId xmlns:a16="http://schemas.microsoft.com/office/drawing/2014/main" id="{E4B91525-2AF1-000C-CBBA-C9738F61B5F2}"/>
            </a:ext>
          </a:extLst>
        </xdr:cNvPr>
        <xdr:cNvSpPr/>
      </xdr:nvSpPr>
      <xdr:spPr>
        <a:xfrm>
          <a:off x="2881312" y="1190625"/>
          <a:ext cx="2178844" cy="2065734"/>
        </a:xfrm>
        <a:prstGeom prst="rect">
          <a:avLst/>
        </a:prstGeom>
        <a:solidFill>
          <a:srgbClr val="FF7C8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u="sng">
              <a:solidFill>
                <a:schemeClr val="tx1"/>
              </a:solidFill>
            </a:rPr>
            <a:t>INPUTS:</a:t>
          </a:r>
        </a:p>
        <a:p>
          <a:pPr marL="171450" indent="-171450" algn="l">
            <a:buFont typeface="Arial" panose="020B0604020202020204" pitchFamily="34" charset="0"/>
            <a:buChar char="•"/>
          </a:pPr>
          <a:r>
            <a:rPr lang="en-US" sz="1000" b="0" u="none">
              <a:solidFill>
                <a:schemeClr val="tx1"/>
              </a:solidFill>
            </a:rPr>
            <a:t>Start</a:t>
          </a:r>
          <a:r>
            <a:rPr lang="en-US" sz="1000" b="0" u="none" baseline="0">
              <a:solidFill>
                <a:schemeClr val="tx1"/>
              </a:solidFill>
            </a:rPr>
            <a:t> with your client name, their total investment amount, annual withdrawls, and their age.</a:t>
          </a:r>
        </a:p>
        <a:p>
          <a:pPr marL="171450" indent="-171450" algn="l">
            <a:buFont typeface="Arial" panose="020B0604020202020204" pitchFamily="34" charset="0"/>
            <a:buChar char="•"/>
          </a:pPr>
          <a:r>
            <a:rPr lang="en-US" sz="1000" b="0" u="none" baseline="0">
              <a:solidFill>
                <a:schemeClr val="tx1"/>
              </a:solidFill>
            </a:rPr>
            <a:t>Next, input the split of growth, bond, Cap Safe, and Par Safe buckets here.</a:t>
          </a:r>
        </a:p>
        <a:p>
          <a:pPr marL="171450" indent="-171450" algn="l">
            <a:buFont typeface="Arial" panose="020B0604020202020204" pitchFamily="34" charset="0"/>
            <a:buChar char="•"/>
          </a:pPr>
          <a:r>
            <a:rPr lang="en-US" sz="1000" b="0" u="none" baseline="0">
              <a:solidFill>
                <a:schemeClr val="tx1"/>
              </a:solidFill>
            </a:rPr>
            <a:t>These inputs changes how the model show returns based on historical returns</a:t>
          </a:r>
        </a:p>
        <a:p>
          <a:pPr marL="171450" indent="-171450" algn="l">
            <a:buFont typeface="Arial" panose="020B0604020202020204" pitchFamily="34" charset="0"/>
            <a:buChar char="•"/>
          </a:pPr>
          <a:r>
            <a:rPr lang="en-US" sz="1000" b="0" u="none" baseline="0">
              <a:solidFill>
                <a:schemeClr val="tx1"/>
              </a:solidFill>
            </a:rPr>
            <a:t>Mang. fees are taken out of model as well, standard is 1%</a:t>
          </a:r>
          <a:endParaRPr lang="en-US" sz="900" b="0" u="none">
            <a:solidFill>
              <a:schemeClr val="tx1"/>
            </a:solidFill>
          </a:endParaRPr>
        </a:p>
        <a:p>
          <a:pPr algn="ctr"/>
          <a:endParaRPr lang="en-US" sz="1100" b="1"/>
        </a:p>
      </xdr:txBody>
    </xdr:sp>
    <xdr:clientData/>
  </xdr:twoCellAnchor>
  <xdr:twoCellAnchor>
    <xdr:from>
      <xdr:col>2</xdr:col>
      <xdr:colOff>750093</xdr:colOff>
      <xdr:row>23</xdr:row>
      <xdr:rowOff>89296</xdr:rowOff>
    </xdr:from>
    <xdr:to>
      <xdr:col>4</xdr:col>
      <xdr:colOff>71437</xdr:colOff>
      <xdr:row>29</xdr:row>
      <xdr:rowOff>190499</xdr:rowOff>
    </xdr:to>
    <xdr:sp macro="" textlink="">
      <xdr:nvSpPr>
        <xdr:cNvPr id="9" name="Rectangle 8">
          <a:extLst>
            <a:ext uri="{FF2B5EF4-FFF2-40B4-BE49-F238E27FC236}">
              <a16:creationId xmlns:a16="http://schemas.microsoft.com/office/drawing/2014/main" id="{5612E19C-87F7-43D5-9ADA-81A1F102C1B2}"/>
            </a:ext>
          </a:extLst>
        </xdr:cNvPr>
        <xdr:cNvSpPr/>
      </xdr:nvSpPr>
      <xdr:spPr>
        <a:xfrm>
          <a:off x="2018109" y="4720827"/>
          <a:ext cx="2178844" cy="1244203"/>
        </a:xfrm>
        <a:prstGeom prst="rect">
          <a:avLst/>
        </a:prstGeom>
        <a:solidFill>
          <a:srgbClr val="FF7C8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u="sng">
              <a:solidFill>
                <a:schemeClr val="tx1"/>
              </a:solidFill>
            </a:rPr>
            <a:t>Returns:</a:t>
          </a:r>
        </a:p>
        <a:p>
          <a:pPr algn="ctr"/>
          <a:r>
            <a:rPr lang="en-US" sz="1000" b="0" u="none">
              <a:solidFill>
                <a:schemeClr val="tx1"/>
              </a:solidFill>
            </a:rPr>
            <a:t>Here</a:t>
          </a:r>
          <a:r>
            <a:rPr lang="en-US" sz="1000" b="0" u="none" baseline="0">
              <a:solidFill>
                <a:schemeClr val="tx1"/>
              </a:solidFill>
            </a:rPr>
            <a:t> you will see how the inputs change the returns in each category/bucket. The model is dynamic so you can change inputs at any time and the model will change with it. </a:t>
          </a:r>
          <a:endParaRPr lang="en-US" sz="900" b="0" u="none">
            <a:solidFill>
              <a:schemeClr val="tx1"/>
            </a:solidFill>
          </a:endParaRPr>
        </a:p>
        <a:p>
          <a:pPr algn="ctr"/>
          <a:endParaRPr lang="en-US" sz="1100" b="1"/>
        </a:p>
      </xdr:txBody>
    </xdr:sp>
    <xdr:clientData/>
  </xdr:twoCellAnchor>
  <xdr:twoCellAnchor>
    <xdr:from>
      <xdr:col>14</xdr:col>
      <xdr:colOff>148828</xdr:colOff>
      <xdr:row>3</xdr:row>
      <xdr:rowOff>172640</xdr:rowOff>
    </xdr:from>
    <xdr:to>
      <xdr:col>18</xdr:col>
      <xdr:colOff>642937</xdr:colOff>
      <xdr:row>13</xdr:row>
      <xdr:rowOff>166688</xdr:rowOff>
    </xdr:to>
    <xdr:sp macro="[0]!HideInstructions" textlink="">
      <xdr:nvSpPr>
        <xdr:cNvPr id="10" name="Rectangle: Rounded Corners 9">
          <a:extLst>
            <a:ext uri="{FF2B5EF4-FFF2-40B4-BE49-F238E27FC236}">
              <a16:creationId xmlns:a16="http://schemas.microsoft.com/office/drawing/2014/main" id="{9FCAD99A-6B08-E2B2-8231-02D5928C0484}"/>
            </a:ext>
          </a:extLst>
        </xdr:cNvPr>
        <xdr:cNvSpPr/>
      </xdr:nvSpPr>
      <xdr:spPr>
        <a:xfrm>
          <a:off x="11185922" y="970359"/>
          <a:ext cx="4196953" cy="1875235"/>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solidFill>
                <a:schemeClr val="bg1"/>
              </a:solidFill>
            </a:rPr>
            <a:t>CLICK</a:t>
          </a:r>
          <a:r>
            <a:rPr lang="en-US" sz="3600" b="1" baseline="0">
              <a:solidFill>
                <a:schemeClr val="bg1"/>
              </a:solidFill>
            </a:rPr>
            <a:t>  TO GO BACK TO MODEL</a:t>
          </a:r>
          <a:endParaRPr lang="en-US" sz="36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34</xdr:col>
      <xdr:colOff>142874</xdr:colOff>
      <xdr:row>63</xdr:row>
      <xdr:rowOff>1304925</xdr:rowOff>
    </xdr:to>
    <xdr:graphicFrame macro="">
      <xdr:nvGraphicFramePr>
        <xdr:cNvPr id="3" name="Chart 2">
          <a:extLst>
            <a:ext uri="{FF2B5EF4-FFF2-40B4-BE49-F238E27FC236}">
              <a16:creationId xmlns:a16="http://schemas.microsoft.com/office/drawing/2014/main" id="{7E1A834A-7FAE-45EA-AE53-A7E21B3EE1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509B1-F284-4D27-B344-558CFB0FB1E2}">
  <sheetPr codeName="Sheet1">
    <pageSetUpPr fitToPage="1"/>
  </sheetPr>
  <dimension ref="B1:Z62"/>
  <sheetViews>
    <sheetView showGridLines="0" showRowColHeaders="0" tabSelected="1" topLeftCell="A2" zoomScale="90" zoomScaleNormal="90" zoomScaleSheetLayoutView="50" workbookViewId="0">
      <selection activeCell="M15" sqref="M15"/>
    </sheetView>
  </sheetViews>
  <sheetFormatPr defaultColWidth="8.6640625" defaultRowHeight="14.4" x14ac:dyDescent="0.3"/>
  <cols>
    <col min="1" max="1" width="3.109375" customWidth="1"/>
    <col min="2" max="2" width="15" customWidth="1"/>
    <col min="3" max="3" width="5.5546875" customWidth="1"/>
    <col min="4" max="4" width="15.6640625" bestFit="1" customWidth="1"/>
    <col min="5" max="5" width="14.6640625" customWidth="1"/>
    <col min="6" max="6" width="11.109375" customWidth="1"/>
    <col min="7" max="7" width="14.5546875" customWidth="1"/>
    <col min="8" max="8" width="15.44140625" customWidth="1"/>
    <col min="9" max="9" width="13.88671875" customWidth="1"/>
    <col min="10" max="10" width="11.44140625" customWidth="1"/>
    <col min="11" max="11" width="12.6640625" customWidth="1"/>
    <col min="12" max="12" width="16" customWidth="1"/>
    <col min="13" max="13" width="10.88671875" style="3" bestFit="1" customWidth="1"/>
    <col min="14" max="14" width="12.5546875" style="3" customWidth="1"/>
    <col min="15" max="15" width="16.33203125" hidden="1" customWidth="1"/>
    <col min="16" max="16" width="14.33203125" hidden="1" customWidth="1"/>
    <col min="17" max="17" width="15.6640625" bestFit="1" customWidth="1"/>
    <col min="18" max="18" width="12" customWidth="1"/>
    <col min="19" max="19" width="13.109375" customWidth="1"/>
    <col min="20" max="20" width="0.6640625" customWidth="1"/>
    <col min="22" max="22" width="15.88671875" customWidth="1"/>
    <col min="24" max="24" width="7.5546875" customWidth="1"/>
    <col min="25" max="25" width="28" customWidth="1"/>
    <col min="27" max="27" width="8.6640625" customWidth="1"/>
  </cols>
  <sheetData>
    <row r="1" spans="2:22" ht="31.2" x14ac:dyDescent="0.3">
      <c r="B1" s="195" t="s">
        <v>66</v>
      </c>
      <c r="C1" s="196"/>
      <c r="D1" s="196"/>
      <c r="E1" s="196"/>
      <c r="F1" s="196"/>
      <c r="G1" s="196"/>
      <c r="H1" s="196"/>
      <c r="I1" s="196"/>
      <c r="J1" s="196"/>
      <c r="K1" s="196"/>
      <c r="L1" s="196"/>
      <c r="M1" s="196"/>
      <c r="N1" s="196"/>
      <c r="O1" s="196"/>
      <c r="P1" s="196"/>
      <c r="Q1" s="196"/>
      <c r="R1" s="196"/>
      <c r="S1" s="196"/>
      <c r="T1" s="196"/>
      <c r="U1" s="196"/>
      <c r="V1" s="197"/>
    </row>
    <row r="2" spans="2:22" ht="22.5" customHeight="1" x14ac:dyDescent="0.3">
      <c r="B2" s="198" t="s">
        <v>0</v>
      </c>
      <c r="C2" s="199"/>
      <c r="D2" s="199"/>
      <c r="E2" s="199"/>
      <c r="F2" s="199"/>
      <c r="G2" s="199"/>
      <c r="H2" s="199"/>
      <c r="I2" s="199"/>
      <c r="J2" s="199"/>
      <c r="K2" s="199"/>
      <c r="L2" s="199"/>
      <c r="M2" s="199"/>
      <c r="N2" s="199"/>
      <c r="O2" s="199"/>
      <c r="P2" s="199"/>
      <c r="Q2" s="199"/>
      <c r="R2" s="199"/>
      <c r="S2" s="199"/>
      <c r="T2" s="199"/>
      <c r="U2" s="199"/>
      <c r="V2" s="200"/>
    </row>
    <row r="3" spans="2:22" ht="6.75" customHeight="1" x14ac:dyDescent="0.3">
      <c r="B3" s="71"/>
      <c r="C3" s="71"/>
      <c r="D3" s="71"/>
      <c r="E3" s="71"/>
      <c r="F3" s="71"/>
      <c r="G3" s="71"/>
      <c r="H3" s="71"/>
      <c r="I3" s="71"/>
      <c r="J3" s="71"/>
      <c r="K3" s="71"/>
      <c r="L3" s="71"/>
      <c r="M3" s="71"/>
      <c r="N3" s="71"/>
      <c r="O3" s="71"/>
      <c r="P3" s="71"/>
      <c r="Q3" s="72"/>
      <c r="R3" s="72"/>
      <c r="S3" s="72"/>
      <c r="T3" s="8"/>
      <c r="U3" s="8"/>
      <c r="V3" s="8"/>
    </row>
    <row r="4" spans="2:22" ht="23.4" x14ac:dyDescent="0.3">
      <c r="B4" s="201" t="s">
        <v>56</v>
      </c>
      <c r="C4" s="201"/>
      <c r="D4" s="201"/>
      <c r="E4" s="71"/>
      <c r="F4" s="71"/>
      <c r="G4" s="71"/>
      <c r="H4" s="8"/>
      <c r="I4" s="8"/>
      <c r="J4" s="8"/>
      <c r="K4" s="8"/>
      <c r="L4" s="71"/>
      <c r="M4" s="71"/>
      <c r="N4" s="71"/>
      <c r="O4" s="71"/>
      <c r="P4" s="71"/>
      <c r="Q4" s="72"/>
      <c r="R4" s="72"/>
      <c r="S4" s="72"/>
      <c r="T4" s="8"/>
      <c r="U4" s="8"/>
      <c r="V4" s="8"/>
    </row>
    <row r="5" spans="2:22" ht="15.6" x14ac:dyDescent="0.3">
      <c r="B5" s="208" t="s">
        <v>1</v>
      </c>
      <c r="C5" s="208"/>
      <c r="D5" s="126" t="s">
        <v>71</v>
      </c>
      <c r="H5" s="78"/>
      <c r="I5" s="78"/>
      <c r="M5" s="4"/>
      <c r="N5" s="5"/>
    </row>
    <row r="6" spans="2:22" ht="15.6" x14ac:dyDescent="0.3">
      <c r="B6" s="208" t="s">
        <v>5</v>
      </c>
      <c r="C6" s="209"/>
      <c r="D6" s="126">
        <v>60</v>
      </c>
      <c r="G6" s="219" t="s">
        <v>2</v>
      </c>
      <c r="H6" s="220"/>
      <c r="I6" s="80"/>
      <c r="L6" s="6"/>
      <c r="M6" s="7"/>
      <c r="N6" s="5"/>
    </row>
    <row r="7" spans="2:22" ht="18" x14ac:dyDescent="0.35">
      <c r="B7" s="209" t="s">
        <v>69</v>
      </c>
      <c r="C7" s="210"/>
      <c r="D7" s="127">
        <v>1000000</v>
      </c>
      <c r="G7" s="135" t="s">
        <v>23</v>
      </c>
      <c r="H7" s="136">
        <v>0</v>
      </c>
      <c r="I7" s="3"/>
      <c r="L7" s="6"/>
      <c r="M7" s="5"/>
      <c r="N7" s="5"/>
    </row>
    <row r="8" spans="2:22" ht="18" x14ac:dyDescent="0.35">
      <c r="B8" s="209" t="s">
        <v>3</v>
      </c>
      <c r="C8" s="210"/>
      <c r="D8" s="127">
        <v>0</v>
      </c>
      <c r="G8" s="137" t="s">
        <v>57</v>
      </c>
      <c r="H8" s="138">
        <v>0</v>
      </c>
      <c r="M8" s="5"/>
      <c r="N8" s="5"/>
    </row>
    <row r="9" spans="2:22" ht="18" x14ac:dyDescent="0.35">
      <c r="B9" s="211" t="s">
        <v>6</v>
      </c>
      <c r="C9" s="212"/>
      <c r="D9" s="128">
        <v>0.5</v>
      </c>
      <c r="E9" s="32" t="s">
        <v>7</v>
      </c>
      <c r="F9" s="24"/>
      <c r="G9" s="139" t="s">
        <v>58</v>
      </c>
      <c r="H9" s="140">
        <v>0</v>
      </c>
      <c r="O9" s="8"/>
      <c r="P9" s="9"/>
    </row>
    <row r="10" spans="2:22" ht="18" x14ac:dyDescent="0.35">
      <c r="B10" s="213" t="s">
        <v>8</v>
      </c>
      <c r="C10" s="214"/>
      <c r="D10" s="129">
        <v>0.5</v>
      </c>
      <c r="E10" s="33" t="s">
        <v>9</v>
      </c>
      <c r="F10" s="24"/>
      <c r="G10" s="141" t="s">
        <v>59</v>
      </c>
      <c r="H10" s="142">
        <v>0</v>
      </c>
      <c r="O10" s="8"/>
      <c r="P10" s="9"/>
    </row>
    <row r="11" spans="2:22" ht="15.6" x14ac:dyDescent="0.3">
      <c r="B11" s="215" t="s">
        <v>10</v>
      </c>
      <c r="C11" s="216"/>
      <c r="D11" s="130">
        <v>0.5</v>
      </c>
      <c r="E11" s="34" t="s">
        <v>11</v>
      </c>
      <c r="F11" s="82"/>
      <c r="G11" s="81"/>
      <c r="H11" s="81"/>
    </row>
    <row r="12" spans="2:22" ht="18" x14ac:dyDescent="0.35">
      <c r="B12" s="217" t="s">
        <v>12</v>
      </c>
      <c r="C12" s="218"/>
      <c r="D12" s="131">
        <v>0.1</v>
      </c>
      <c r="G12" s="145" t="s">
        <v>68</v>
      </c>
      <c r="H12" s="143">
        <v>2004</v>
      </c>
      <c r="J12" s="3"/>
      <c r="K12" s="3"/>
      <c r="L12" s="11" t="s">
        <v>4</v>
      </c>
      <c r="O12" s="12"/>
    </row>
    <row r="13" spans="2:22" ht="18" x14ac:dyDescent="0.35">
      <c r="B13" s="217" t="s">
        <v>70</v>
      </c>
      <c r="C13" s="221"/>
      <c r="D13" s="131"/>
      <c r="G13" s="145" t="s">
        <v>73</v>
      </c>
      <c r="H13" s="143">
        <v>5</v>
      </c>
      <c r="J13" s="3"/>
      <c r="K13" s="3"/>
      <c r="L13" s="11"/>
      <c r="O13" s="12"/>
    </row>
    <row r="14" spans="2:22" ht="15.6" x14ac:dyDescent="0.3">
      <c r="B14" s="202" t="s">
        <v>14</v>
      </c>
      <c r="C14" s="203"/>
      <c r="D14" s="132">
        <v>0.5</v>
      </c>
      <c r="F14" s="5"/>
      <c r="J14" s="3"/>
      <c r="K14" s="3"/>
      <c r="L14" s="11"/>
      <c r="O14" s="12"/>
    </row>
    <row r="15" spans="2:22" s="15" customFormat="1" ht="15.6" x14ac:dyDescent="0.3">
      <c r="B15" s="206" t="s">
        <v>15</v>
      </c>
      <c r="C15" s="207"/>
      <c r="D15" s="133">
        <v>0.4</v>
      </c>
      <c r="E15"/>
      <c r="F15" s="5"/>
      <c r="G15"/>
      <c r="J15" s="5"/>
      <c r="K15"/>
      <c r="L15" s="11"/>
      <c r="M15" s="3"/>
      <c r="O15" s="12"/>
      <c r="P15"/>
      <c r="Q15"/>
      <c r="R15"/>
      <c r="S15"/>
      <c r="T15"/>
      <c r="U15"/>
      <c r="V15"/>
    </row>
    <row r="16" spans="2:22" s="21" customFormat="1" ht="18" x14ac:dyDescent="0.35">
      <c r="B16" s="204" t="s">
        <v>16</v>
      </c>
      <c r="C16" s="205"/>
      <c r="D16" s="134">
        <v>1.2500000000000001E-2</v>
      </c>
      <c r="E16" s="13"/>
      <c r="F16" s="11"/>
      <c r="G16" s="14"/>
      <c r="H16"/>
      <c r="I16"/>
      <c r="J16" s="14"/>
      <c r="K16" s="14"/>
      <c r="L16" s="11"/>
      <c r="M16" s="3"/>
      <c r="N16" s="3"/>
      <c r="O16"/>
      <c r="P16"/>
      <c r="Q16"/>
      <c r="R16"/>
      <c r="S16"/>
      <c r="T16"/>
      <c r="U16"/>
      <c r="V16"/>
    </row>
    <row r="17" spans="2:25" ht="15.6" x14ac:dyDescent="0.3">
      <c r="B17" s="222" t="s">
        <v>72</v>
      </c>
      <c r="C17" s="222"/>
      <c r="D17" s="190">
        <v>0.02</v>
      </c>
      <c r="E17" s="17"/>
      <c r="F17" s="18"/>
      <c r="G17" s="18"/>
      <c r="H17" s="14"/>
      <c r="I17" s="14"/>
      <c r="J17" s="18"/>
      <c r="K17" s="18"/>
      <c r="L17" s="18"/>
      <c r="M17" s="19"/>
      <c r="N17" s="19"/>
      <c r="O17" s="15"/>
      <c r="P17" s="15"/>
      <c r="Q17" s="15"/>
      <c r="R17" s="15"/>
      <c r="S17" s="15"/>
      <c r="T17" s="15"/>
      <c r="U17" s="15"/>
      <c r="V17" s="15"/>
    </row>
    <row r="18" spans="2:25" x14ac:dyDescent="0.3">
      <c r="B18" s="15"/>
      <c r="C18" s="16"/>
      <c r="D18" s="17"/>
      <c r="E18" s="17"/>
      <c r="F18" s="18"/>
      <c r="G18" s="18"/>
      <c r="H18" s="14"/>
      <c r="I18" s="14"/>
      <c r="J18" s="18"/>
      <c r="K18" s="18"/>
      <c r="L18" s="18"/>
      <c r="M18" s="19"/>
      <c r="N18" s="19"/>
      <c r="O18" s="15"/>
      <c r="P18" s="15"/>
      <c r="Q18" s="15"/>
      <c r="R18" s="15"/>
      <c r="S18" s="15"/>
      <c r="T18" s="15"/>
      <c r="U18" s="15"/>
      <c r="V18" s="15"/>
    </row>
    <row r="19" spans="2:25" ht="18" x14ac:dyDescent="0.35">
      <c r="B19" s="234"/>
      <c r="C19" s="234"/>
      <c r="D19" s="235" t="s">
        <v>17</v>
      </c>
      <c r="E19" s="235"/>
      <c r="F19" s="235"/>
      <c r="G19" s="235"/>
      <c r="H19" s="236" t="s">
        <v>18</v>
      </c>
      <c r="I19" s="237"/>
      <c r="J19" s="237"/>
      <c r="K19" s="238"/>
      <c r="L19" s="239" t="s">
        <v>19</v>
      </c>
      <c r="M19" s="239"/>
      <c r="N19" s="239"/>
      <c r="O19" s="240" t="s">
        <v>65</v>
      </c>
      <c r="P19" s="240"/>
      <c r="Q19" s="225" t="s">
        <v>20</v>
      </c>
      <c r="R19" s="225"/>
      <c r="S19" s="225"/>
      <c r="T19" s="21"/>
      <c r="U19" s="226" t="s">
        <v>55</v>
      </c>
      <c r="V19" s="226"/>
    </row>
    <row r="20" spans="2:25" ht="15.6" x14ac:dyDescent="0.3">
      <c r="B20" s="83" t="s">
        <v>13</v>
      </c>
      <c r="C20" s="83" t="s">
        <v>21</v>
      </c>
      <c r="D20" s="84" t="s">
        <v>22</v>
      </c>
      <c r="E20" s="84" t="s">
        <v>23</v>
      </c>
      <c r="F20" s="84" t="s">
        <v>24</v>
      </c>
      <c r="G20" s="84" t="s">
        <v>25</v>
      </c>
      <c r="H20" s="85" t="s">
        <v>22</v>
      </c>
      <c r="I20" s="85" t="s">
        <v>23</v>
      </c>
      <c r="J20" s="85" t="s">
        <v>24</v>
      </c>
      <c r="K20" s="85" t="s">
        <v>25</v>
      </c>
      <c r="L20" s="86" t="s">
        <v>22</v>
      </c>
      <c r="M20" s="86" t="s">
        <v>23</v>
      </c>
      <c r="N20" s="86" t="s">
        <v>25</v>
      </c>
      <c r="O20" s="87" t="s">
        <v>22</v>
      </c>
      <c r="P20" s="88" t="s">
        <v>23</v>
      </c>
      <c r="Q20" s="89" t="s">
        <v>22</v>
      </c>
      <c r="R20" s="89" t="s">
        <v>23</v>
      </c>
      <c r="S20" s="89" t="s">
        <v>25</v>
      </c>
      <c r="T20" s="90"/>
      <c r="U20" s="83" t="s">
        <v>13</v>
      </c>
      <c r="V20" s="91" t="s">
        <v>22</v>
      </c>
    </row>
    <row r="21" spans="2:25" ht="18" x14ac:dyDescent="0.35">
      <c r="B21" s="92">
        <v>0</v>
      </c>
      <c r="C21" s="92">
        <f t="shared" ref="C21:C41" si="0">$D$6+B21</f>
        <v>60</v>
      </c>
      <c r="D21" s="93">
        <f>D7*D9</f>
        <v>500000</v>
      </c>
      <c r="E21" s="94">
        <f>IFERROR(_xlfn.XLOOKUP(B21,'S&amp;P Returns'!$A$2:$A$56,'S&amp;P Returns'!$C$2:$C$56), 0)</f>
        <v>8.9934524109467506E-2</v>
      </c>
      <c r="F21" s="95">
        <f>E21-$D$16</f>
        <v>7.7434524109467509E-2</v>
      </c>
      <c r="G21" s="96">
        <f>IF(B21&lt;H13,0,-($H$7))</f>
        <v>0</v>
      </c>
      <c r="H21" s="97">
        <f>D7*D10</f>
        <v>500000</v>
      </c>
      <c r="I21" s="144">
        <f>IFERROR(_xlfn.XLOOKUP(B21,'S&amp;P Returns'!$A$2:$A$56,'S&amp;P Returns'!$E$2:$E$56), 0)</f>
        <v>4.3387864122063503E-2</v>
      </c>
      <c r="J21" s="98">
        <f>I21-$D$16</f>
        <v>3.0887864122063503E-2</v>
      </c>
      <c r="K21" s="99">
        <f>IF(B21&lt;H13,0,-($H$8))</f>
        <v>0</v>
      </c>
      <c r="L21" s="100">
        <f>(D7*D11)*(1+D13)</f>
        <v>500000</v>
      </c>
      <c r="M21" s="101">
        <f t="shared" ref="M21:M41" si="1">IF(E21&gt;0,MIN(E21, $D$12),E21*0)</f>
        <v>8.9934524109467506E-2</v>
      </c>
      <c r="N21" s="102">
        <f>IF(B21&lt;H13,0,-($H$9))</f>
        <v>0</v>
      </c>
      <c r="O21" s="103">
        <f t="shared" ref="O21:O42" si="2">D21+L21</f>
        <v>1000000</v>
      </c>
      <c r="P21" s="104">
        <f>(O22-O21)/O21</f>
        <v>8.3684524109467626E-2</v>
      </c>
      <c r="Q21" s="105">
        <f>D7*D14</f>
        <v>500000</v>
      </c>
      <c r="R21" s="106">
        <f t="shared" ref="R21:R41" si="3">MAX(0, E21 * $D$15)</f>
        <v>3.5973809643787005E-2</v>
      </c>
      <c r="S21" s="107">
        <f>IF(B21&lt;H13,0,-($H$10))</f>
        <v>0</v>
      </c>
      <c r="T21" s="21"/>
      <c r="U21" s="108" t="s">
        <v>54</v>
      </c>
      <c r="V21" s="109">
        <f t="shared" ref="V21:V42" si="4">SUM(D21+H21+L21+Q21)</f>
        <v>2000000</v>
      </c>
    </row>
    <row r="22" spans="2:25" ht="18" x14ac:dyDescent="0.35">
      <c r="B22" s="92">
        <v>1</v>
      </c>
      <c r="C22" s="92">
        <f t="shared" si="0"/>
        <v>61</v>
      </c>
      <c r="D22" s="93">
        <f>D21*(1+F21)+G21</f>
        <v>538717.26205473382</v>
      </c>
      <c r="E22" s="94">
        <f>IFERROR(_xlfn.XLOOKUP(B22,'S&amp;P Returns'!$A$2:$A$56,'S&amp;P Returns'!$C$2:$C$56), 0)</f>
        <v>3.0010226581274901E-2</v>
      </c>
      <c r="F22" s="95">
        <f t="shared" ref="F22:F41" si="5">E22-$D$16</f>
        <v>1.75102265812749E-2</v>
      </c>
      <c r="G22" s="96">
        <f>IF(G21&lt;0,G21*(1+$D$17),IF(B22&gt;=$H$13,-$H$7,0))</f>
        <v>0</v>
      </c>
      <c r="H22" s="97">
        <f>H21*(1+J21)+K21</f>
        <v>515443.93206103181</v>
      </c>
      <c r="I22" s="144">
        <f>IFERROR(_xlfn.XLOOKUP(B22,'S&amp;P Returns'!$A$2:$A$56,'S&amp;P Returns'!$E$2:$E$56), 0)</f>
        <v>2.42853209710183E-2</v>
      </c>
      <c r="J22" s="98">
        <f t="shared" ref="J22:J41" si="6">I22-$D$16</f>
        <v>1.1785320971018299E-2</v>
      </c>
      <c r="K22" s="99">
        <f>IF(K21&lt;0,K21*(1+$D$17),IF(B22&gt;=$H$13,-$H$8,0))</f>
        <v>0</v>
      </c>
      <c r="L22" s="102">
        <f>L21*(1+M21)+N21</f>
        <v>544967.26205473382</v>
      </c>
      <c r="M22" s="101">
        <f t="shared" si="1"/>
        <v>3.0010226581274901E-2</v>
      </c>
      <c r="N22" s="102">
        <f>IF(N21&lt;0,N21*(1+$D$17),IF(B22&gt;=$H$13,-$H$9,0))</f>
        <v>0</v>
      </c>
      <c r="O22" s="103">
        <f t="shared" si="2"/>
        <v>1083684.5241094676</v>
      </c>
      <c r="P22" s="104">
        <f t="shared" ref="P22:P41" si="7">(O23-O22)/O22</f>
        <v>2.3796272588328487E-2</v>
      </c>
      <c r="Q22" s="107">
        <f>Q21*(1+R21)+S21</f>
        <v>517986.90482189349</v>
      </c>
      <c r="R22" s="106">
        <f t="shared" si="3"/>
        <v>1.2004090632509961E-2</v>
      </c>
      <c r="S22" s="107">
        <f>IF(S21&lt;0,S21*(1+$D$17),IF(B22&gt;=$H$13,-$H$10,0))</f>
        <v>0</v>
      </c>
      <c r="T22" s="21"/>
      <c r="U22" s="108" t="s">
        <v>29</v>
      </c>
      <c r="V22" s="109">
        <f t="shared" si="4"/>
        <v>2117115.360992393</v>
      </c>
    </row>
    <row r="23" spans="2:25" ht="18" x14ac:dyDescent="0.35">
      <c r="B23" s="92">
        <v>2</v>
      </c>
      <c r="C23" s="92">
        <f t="shared" si="0"/>
        <v>62</v>
      </c>
      <c r="D23" s="93">
        <f t="shared" ref="D23:D42" si="8">D22*(1+F22)+G22</f>
        <v>548150.32337655628</v>
      </c>
      <c r="E23" s="94">
        <f>IFERROR(_xlfn.XLOOKUP(B23,'S&amp;P Returns'!$A$2:$A$56,'S&amp;P Returns'!$C$2:$C$56), 0)</f>
        <v>0.13619431738260701</v>
      </c>
      <c r="F23" s="95">
        <f t="shared" si="5"/>
        <v>0.12369431738260701</v>
      </c>
      <c r="G23" s="96">
        <f t="shared" ref="G23:G41" si="9">IF(G22&lt;0,G22*(1+$D$17),IF(B23&gt;=$H$13,-$H$7,0))</f>
        <v>0</v>
      </c>
      <c r="H23" s="97">
        <f t="shared" ref="H23:H41" si="10">H22*(1+J22)+K22</f>
        <v>521518.60424293485</v>
      </c>
      <c r="I23" s="144">
        <f>IFERROR(_xlfn.XLOOKUP(B23,'S&amp;P Returns'!$A$2:$A$56,'S&amp;P Returns'!$E$2:$E$56), 0)</f>
        <v>4.3337653227436497E-2</v>
      </c>
      <c r="J23" s="98">
        <f t="shared" si="6"/>
        <v>3.0837653227436496E-2</v>
      </c>
      <c r="K23" s="99">
        <f t="shared" ref="K23:K41" si="11">IF(K22&lt;0,K22*(1+$D$17),IF(B23&gt;=$H$13,-$H$8,0))</f>
        <v>0</v>
      </c>
      <c r="L23" s="102">
        <f t="shared" ref="L23:L41" si="12">L22*(1+M22)+N22</f>
        <v>561321.8530683734</v>
      </c>
      <c r="M23" s="101">
        <f t="shared" si="1"/>
        <v>0.1</v>
      </c>
      <c r="N23" s="102">
        <f t="shared" ref="N23:N41" si="13">IF(N22&lt;0,N22*(1+$D$17),IF(B23&gt;=$H$13,-$H$9,0))</f>
        <v>0</v>
      </c>
      <c r="O23" s="103">
        <f t="shared" si="2"/>
        <v>1109472.1764449296</v>
      </c>
      <c r="P23" s="104">
        <f t="shared" si="7"/>
        <v>0.11170651054727709</v>
      </c>
      <c r="Q23" s="107">
        <f t="shared" ref="Q23:Q41" si="14">Q22*(1+R22)+S22</f>
        <v>524204.86657382885</v>
      </c>
      <c r="R23" s="106">
        <f t="shared" si="3"/>
        <v>5.4477726953042808E-2</v>
      </c>
      <c r="S23" s="107">
        <f t="shared" ref="S23:S41" si="15">IF(S22&lt;0,S22*(1+$D$17),IF(B23&gt;=$H$13,-$H$10,0))</f>
        <v>0</v>
      </c>
      <c r="T23" s="21"/>
      <c r="U23" s="108" t="s">
        <v>30</v>
      </c>
      <c r="V23" s="109">
        <f t="shared" si="4"/>
        <v>2155195.6472616936</v>
      </c>
      <c r="Y23" s="6"/>
    </row>
    <row r="24" spans="2:25" ht="18" x14ac:dyDescent="0.35">
      <c r="B24" s="92">
        <v>3</v>
      </c>
      <c r="C24" s="92">
        <f t="shared" si="0"/>
        <v>63</v>
      </c>
      <c r="D24" s="93">
        <f t="shared" si="8"/>
        <v>615953.40344967472</v>
      </c>
      <c r="E24" s="94">
        <f>IFERROR(_xlfn.XLOOKUP(B24,'S&amp;P Returns'!$A$2:$A$56,'S&amp;P Returns'!$C$2:$C$56), 0)</f>
        <v>3.5295730663479498E-2</v>
      </c>
      <c r="F24" s="95">
        <f t="shared" si="5"/>
        <v>2.2795730663479497E-2</v>
      </c>
      <c r="G24" s="96">
        <f t="shared" si="9"/>
        <v>0</v>
      </c>
      <c r="H24" s="97">
        <f t="shared" si="10"/>
        <v>537601.01411223516</v>
      </c>
      <c r="I24" s="144">
        <f>IFERROR(_xlfn.XLOOKUP(B24,'S&amp;P Returns'!$A$2:$A$56,'S&amp;P Returns'!$E$2:$E$56), 0)</f>
        <v>6.9666232368790201E-2</v>
      </c>
      <c r="J24" s="98">
        <f t="shared" si="6"/>
        <v>5.7166232368790204E-2</v>
      </c>
      <c r="K24" s="99">
        <f t="shared" si="11"/>
        <v>0</v>
      </c>
      <c r="L24" s="102">
        <f t="shared" si="12"/>
        <v>617454.03837521083</v>
      </c>
      <c r="M24" s="101">
        <f t="shared" si="1"/>
        <v>3.5295730663479498E-2</v>
      </c>
      <c r="N24" s="102">
        <f t="shared" si="13"/>
        <v>0</v>
      </c>
      <c r="O24" s="103">
        <f t="shared" si="2"/>
        <v>1233407.4418248856</v>
      </c>
      <c r="P24" s="104">
        <f t="shared" si="7"/>
        <v>2.905333477544331E-2</v>
      </c>
      <c r="Q24" s="107">
        <f t="shared" si="14"/>
        <v>552762.35616249416</v>
      </c>
      <c r="R24" s="106">
        <f t="shared" si="3"/>
        <v>1.41182922653918E-2</v>
      </c>
      <c r="S24" s="107">
        <f t="shared" si="15"/>
        <v>0</v>
      </c>
      <c r="T24" s="21"/>
      <c r="U24" s="108" t="s">
        <v>31</v>
      </c>
      <c r="V24" s="109">
        <f t="shared" si="4"/>
        <v>2323770.8120996146</v>
      </c>
    </row>
    <row r="25" spans="2:25" ht="18" x14ac:dyDescent="0.35">
      <c r="B25" s="92">
        <v>4</v>
      </c>
      <c r="C25" s="92">
        <f t="shared" si="0"/>
        <v>64</v>
      </c>
      <c r="D25" s="93">
        <f t="shared" si="8"/>
        <v>629994.51133596699</v>
      </c>
      <c r="E25" s="94">
        <f>IFERROR(_xlfn.XLOOKUP(B25,'S&amp;P Returns'!$A$2:$A$56,'S&amp;P Returns'!$C$2:$C$56), 0)</f>
        <v>-0.38485793060906698</v>
      </c>
      <c r="F25" s="95">
        <f t="shared" si="5"/>
        <v>-0.39735793060906699</v>
      </c>
      <c r="G25" s="96">
        <f t="shared" si="9"/>
        <v>0</v>
      </c>
      <c r="H25" s="97">
        <f t="shared" si="10"/>
        <v>568333.63860667252</v>
      </c>
      <c r="I25" s="144">
        <f>IFERROR(_xlfn.XLOOKUP(B25,'S&amp;P Returns'!$A$2:$A$56,'S&amp;P Returns'!$E$2:$E$56), 0)</f>
        <v>5.2402371264973199E-2</v>
      </c>
      <c r="J25" s="98">
        <f t="shared" si="6"/>
        <v>3.9902371264973202E-2</v>
      </c>
      <c r="K25" s="99">
        <f t="shared" si="11"/>
        <v>0</v>
      </c>
      <c r="L25" s="102">
        <f t="shared" si="12"/>
        <v>639247.52981078008</v>
      </c>
      <c r="M25" s="101">
        <f t="shared" si="1"/>
        <v>0</v>
      </c>
      <c r="N25" s="102">
        <f t="shared" si="13"/>
        <v>0</v>
      </c>
      <c r="O25" s="103">
        <f t="shared" si="2"/>
        <v>1269242.0411467471</v>
      </c>
      <c r="P25" s="104">
        <f t="shared" si="7"/>
        <v>-0.1972305574540823</v>
      </c>
      <c r="Q25" s="107">
        <f t="shared" si="14"/>
        <v>560566.41666010278</v>
      </c>
      <c r="R25" s="106">
        <f t="shared" si="3"/>
        <v>0</v>
      </c>
      <c r="S25" s="107">
        <f t="shared" si="15"/>
        <v>0</v>
      </c>
      <c r="T25" s="21"/>
      <c r="U25" s="108" t="s">
        <v>32</v>
      </c>
      <c r="V25" s="109">
        <f t="shared" si="4"/>
        <v>2398142.096413522</v>
      </c>
    </row>
    <row r="26" spans="2:25" ht="18" x14ac:dyDescent="0.35">
      <c r="B26" s="92">
        <v>5</v>
      </c>
      <c r="C26" s="92">
        <f t="shared" si="0"/>
        <v>65</v>
      </c>
      <c r="D26" s="93">
        <f t="shared" si="8"/>
        <v>379661.19601643673</v>
      </c>
      <c r="E26" s="94">
        <f>IFERROR(_xlfn.XLOOKUP(B26,'S&amp;P Returns'!$A$2:$A$56,'S&amp;P Returns'!$C$2:$C$56), 0)</f>
        <v>0.23454190488340701</v>
      </c>
      <c r="F26" s="95">
        <f t="shared" si="5"/>
        <v>0.222041904883407</v>
      </c>
      <c r="G26" s="96">
        <f t="shared" si="9"/>
        <v>0</v>
      </c>
      <c r="H26" s="97">
        <f t="shared" si="10"/>
        <v>591011.49845672899</v>
      </c>
      <c r="I26" s="144">
        <f>IFERROR(_xlfn.XLOOKUP(B26,'S&amp;P Returns'!$A$2:$A$56,'S&amp;P Returns'!$E$2:$E$56), 0)</f>
        <v>5.9304028846060203E-2</v>
      </c>
      <c r="J26" s="98">
        <f t="shared" si="6"/>
        <v>4.6804028846060206E-2</v>
      </c>
      <c r="K26" s="99">
        <f t="shared" si="11"/>
        <v>0</v>
      </c>
      <c r="L26" s="102">
        <f t="shared" si="12"/>
        <v>639247.52981078008</v>
      </c>
      <c r="M26" s="101">
        <f t="shared" si="1"/>
        <v>0.1</v>
      </c>
      <c r="N26" s="102">
        <f t="shared" si="13"/>
        <v>0</v>
      </c>
      <c r="O26" s="103">
        <f t="shared" si="2"/>
        <v>1018908.7258272169</v>
      </c>
      <c r="P26" s="104">
        <f t="shared" si="7"/>
        <v>0.14547470680903343</v>
      </c>
      <c r="Q26" s="107">
        <f t="shared" si="14"/>
        <v>560566.41666010278</v>
      </c>
      <c r="R26" s="106">
        <f t="shared" si="3"/>
        <v>9.3816761953362804E-2</v>
      </c>
      <c r="S26" s="107">
        <f t="shared" si="15"/>
        <v>0</v>
      </c>
      <c r="T26" s="21"/>
      <c r="U26" s="108" t="s">
        <v>33</v>
      </c>
      <c r="V26" s="109">
        <f t="shared" si="4"/>
        <v>2170486.6409440488</v>
      </c>
    </row>
    <row r="27" spans="2:25" ht="18" x14ac:dyDescent="0.35">
      <c r="B27" s="92">
        <v>6</v>
      </c>
      <c r="C27" s="92">
        <f t="shared" si="0"/>
        <v>66</v>
      </c>
      <c r="D27" s="93">
        <f t="shared" si="8"/>
        <v>463961.89119023894</v>
      </c>
      <c r="E27" s="94">
        <f>IFERROR(_xlfn.XLOOKUP(B27,'S&amp;P Returns'!$A$2:$A$56,'S&amp;P Returns'!$C$2:$C$56), 0)</f>
        <v>0.127827138537601</v>
      </c>
      <c r="F27" s="95">
        <f t="shared" si="5"/>
        <v>0.115327138537601</v>
      </c>
      <c r="G27" s="96">
        <f t="shared" si="9"/>
        <v>0</v>
      </c>
      <c r="H27" s="97">
        <f t="shared" si="10"/>
        <v>618673.2176788511</v>
      </c>
      <c r="I27" s="144">
        <f>IFERROR(_xlfn.XLOOKUP(B27,'S&amp;P Returns'!$A$2:$A$56,'S&amp;P Returns'!$E$2:$E$56), 0)</f>
        <v>6.5417108837411295E-2</v>
      </c>
      <c r="J27" s="98">
        <f t="shared" si="6"/>
        <v>5.2917108837411297E-2</v>
      </c>
      <c r="K27" s="99">
        <f t="shared" si="11"/>
        <v>0</v>
      </c>
      <c r="L27" s="102">
        <f t="shared" si="12"/>
        <v>703172.28279185819</v>
      </c>
      <c r="M27" s="101">
        <f t="shared" si="1"/>
        <v>0.1</v>
      </c>
      <c r="N27" s="102">
        <f t="shared" si="13"/>
        <v>0</v>
      </c>
      <c r="O27" s="103">
        <f t="shared" si="2"/>
        <v>1167134.1739820971</v>
      </c>
      <c r="P27" s="104">
        <f t="shared" si="7"/>
        <v>0.10609287975706998</v>
      </c>
      <c r="Q27" s="107">
        <f t="shared" si="14"/>
        <v>613156.94273095322</v>
      </c>
      <c r="R27" s="106">
        <f t="shared" si="3"/>
        <v>5.1130855415040401E-2</v>
      </c>
      <c r="S27" s="107">
        <f t="shared" si="15"/>
        <v>0</v>
      </c>
      <c r="T27" s="21"/>
      <c r="U27" s="108" t="s">
        <v>34</v>
      </c>
      <c r="V27" s="109">
        <f t="shared" si="4"/>
        <v>2398964.3343919013</v>
      </c>
    </row>
    <row r="28" spans="2:25" ht="18" x14ac:dyDescent="0.35">
      <c r="B28" s="92">
        <v>7</v>
      </c>
      <c r="C28" s="92">
        <f t="shared" si="0"/>
        <v>67</v>
      </c>
      <c r="D28" s="93">
        <f t="shared" si="8"/>
        <v>517469.28849170293</v>
      </c>
      <c r="E28" s="94">
        <f>IFERROR(_xlfn.XLOOKUP(B28,'S&amp;P Returns'!$A$2:$A$56,'S&amp;P Returns'!$C$2:$C$56), 0)</f>
        <v>-3.1836663936912703E-5</v>
      </c>
      <c r="F28" s="95">
        <f t="shared" si="5"/>
        <v>-1.2531836663936913E-2</v>
      </c>
      <c r="G28" s="96">
        <f t="shared" si="9"/>
        <v>0</v>
      </c>
      <c r="H28" s="97">
        <f t="shared" si="10"/>
        <v>651411.61567355436</v>
      </c>
      <c r="I28" s="144">
        <f>IFERROR(_xlfn.XLOOKUP(B28,'S&amp;P Returns'!$A$2:$A$56,'S&amp;P Returns'!$E$2:$E$56), 0)</f>
        <v>7.8418156048670001E-2</v>
      </c>
      <c r="J28" s="98">
        <f t="shared" si="6"/>
        <v>6.5918156048670004E-2</v>
      </c>
      <c r="K28" s="99">
        <f t="shared" si="11"/>
        <v>0</v>
      </c>
      <c r="L28" s="102">
        <f t="shared" si="12"/>
        <v>773489.51107104402</v>
      </c>
      <c r="M28" s="101">
        <f t="shared" si="1"/>
        <v>0</v>
      </c>
      <c r="N28" s="102">
        <f t="shared" si="13"/>
        <v>0</v>
      </c>
      <c r="O28" s="103">
        <f t="shared" si="2"/>
        <v>1290958.7995627469</v>
      </c>
      <c r="P28" s="104">
        <f t="shared" si="7"/>
        <v>-5.0232746422101621E-3</v>
      </c>
      <c r="Q28" s="107">
        <f t="shared" si="14"/>
        <v>644508.18171645782</v>
      </c>
      <c r="R28" s="106">
        <f t="shared" si="3"/>
        <v>0</v>
      </c>
      <c r="S28" s="107">
        <f t="shared" si="15"/>
        <v>0</v>
      </c>
      <c r="T28" s="21"/>
      <c r="U28" s="108" t="s">
        <v>35</v>
      </c>
      <c r="V28" s="109">
        <f t="shared" si="4"/>
        <v>2586878.5969527592</v>
      </c>
    </row>
    <row r="29" spans="2:25" ht="18" x14ac:dyDescent="0.35">
      <c r="B29" s="92">
        <v>8</v>
      </c>
      <c r="C29" s="92">
        <f t="shared" si="0"/>
        <v>68</v>
      </c>
      <c r="D29" s="93">
        <f t="shared" si="8"/>
        <v>510984.44788972125</v>
      </c>
      <c r="E29" s="94">
        <f>IFERROR(_xlfn.XLOOKUP(B29,'S&amp;P Returns'!$A$2:$A$56,'S&amp;P Returns'!$C$2:$C$56), 0)</f>
        <v>0.13405690926621</v>
      </c>
      <c r="F29" s="95">
        <f t="shared" si="5"/>
        <v>0.12155690926621</v>
      </c>
      <c r="G29" s="96">
        <f t="shared" si="9"/>
        <v>0</v>
      </c>
      <c r="H29" s="97">
        <f t="shared" si="10"/>
        <v>694351.46820743987</v>
      </c>
      <c r="I29" s="144">
        <f>IFERROR(_xlfn.XLOOKUP(B29,'S&amp;P Returns'!$A$2:$A$56,'S&amp;P Returns'!$E$2:$E$56), 0)</f>
        <v>4.21483129793307E-2</v>
      </c>
      <c r="J29" s="98">
        <f t="shared" si="6"/>
        <v>2.9648312979330699E-2</v>
      </c>
      <c r="K29" s="99">
        <f t="shared" si="11"/>
        <v>0</v>
      </c>
      <c r="L29" s="102">
        <f t="shared" si="12"/>
        <v>773489.51107104402</v>
      </c>
      <c r="M29" s="101">
        <f t="shared" si="1"/>
        <v>0.1</v>
      </c>
      <c r="N29" s="102">
        <f t="shared" si="13"/>
        <v>0</v>
      </c>
      <c r="O29" s="103">
        <f t="shared" si="2"/>
        <v>1284473.9589607653</v>
      </c>
      <c r="P29" s="104">
        <f t="shared" si="7"/>
        <v>0.1085756860252078</v>
      </c>
      <c r="Q29" s="107">
        <f t="shared" si="14"/>
        <v>644508.18171645782</v>
      </c>
      <c r="R29" s="106">
        <f t="shared" si="3"/>
        <v>5.3622763706484E-2</v>
      </c>
      <c r="S29" s="107">
        <f t="shared" si="15"/>
        <v>0</v>
      </c>
      <c r="T29" s="21"/>
      <c r="U29" s="108" t="s">
        <v>36</v>
      </c>
      <c r="V29" s="109">
        <f t="shared" si="4"/>
        <v>2623333.6088846629</v>
      </c>
    </row>
    <row r="30" spans="2:25" ht="18" x14ac:dyDescent="0.35">
      <c r="B30" s="92">
        <v>9</v>
      </c>
      <c r="C30" s="92">
        <f t="shared" si="0"/>
        <v>69</v>
      </c>
      <c r="D30" s="93">
        <f t="shared" si="8"/>
        <v>573098.13805829652</v>
      </c>
      <c r="E30" s="94">
        <f>IFERROR(_xlfn.XLOOKUP(B30,'S&amp;P Returns'!$A$2:$A$56,'S&amp;P Returns'!$C$2:$C$56), 0)</f>
        <v>0.29601249573324301</v>
      </c>
      <c r="F30" s="95">
        <f t="shared" si="5"/>
        <v>0.283512495733243</v>
      </c>
      <c r="G30" s="96">
        <f t="shared" si="9"/>
        <v>0</v>
      </c>
      <c r="H30" s="97">
        <f t="shared" si="10"/>
        <v>714937.8178545119</v>
      </c>
      <c r="I30" s="144">
        <f>IFERROR(_xlfn.XLOOKUP(B30,'S&amp;P Returns'!$A$2:$A$56,'S&amp;P Returns'!$E$2:$E$56), 0)</f>
        <v>-2.0236972448985899E-2</v>
      </c>
      <c r="J30" s="98">
        <f t="shared" si="6"/>
        <v>-3.27369724489859E-2</v>
      </c>
      <c r="K30" s="99">
        <f t="shared" si="11"/>
        <v>0</v>
      </c>
      <c r="L30" s="102">
        <f t="shared" si="12"/>
        <v>850838.46217814845</v>
      </c>
      <c r="M30" s="101">
        <f t="shared" si="1"/>
        <v>0.1</v>
      </c>
      <c r="N30" s="102">
        <f t="shared" si="13"/>
        <v>0</v>
      </c>
      <c r="O30" s="103">
        <f t="shared" si="2"/>
        <v>1423936.600236445</v>
      </c>
      <c r="P30" s="104">
        <f t="shared" si="7"/>
        <v>0.1738590956912611</v>
      </c>
      <c r="Q30" s="107">
        <f t="shared" si="14"/>
        <v>679068.49165153515</v>
      </c>
      <c r="R30" s="106">
        <f t="shared" si="3"/>
        <v>0.1184049982932972</v>
      </c>
      <c r="S30" s="107">
        <f t="shared" si="15"/>
        <v>0</v>
      </c>
      <c r="T30" s="21"/>
      <c r="U30" s="108" t="s">
        <v>37</v>
      </c>
      <c r="V30" s="109">
        <f t="shared" si="4"/>
        <v>2817942.9097424918</v>
      </c>
    </row>
    <row r="31" spans="2:25" ht="18" x14ac:dyDescent="0.35">
      <c r="B31" s="92">
        <v>10</v>
      </c>
      <c r="C31" s="92">
        <f t="shared" si="0"/>
        <v>70</v>
      </c>
      <c r="D31" s="93">
        <f t="shared" si="8"/>
        <v>735578.62147927878</v>
      </c>
      <c r="E31" s="94">
        <f>IFERROR(_xlfn.XLOOKUP(B31,'S&amp;P Returns'!$A$2:$A$56,'S&amp;P Returns'!$C$2:$C$56), 0)</f>
        <v>0.113906337867481</v>
      </c>
      <c r="F31" s="95">
        <f t="shared" si="5"/>
        <v>0.101406337867481</v>
      </c>
      <c r="G31" s="96">
        <f t="shared" si="9"/>
        <v>0</v>
      </c>
      <c r="H31" s="97">
        <f t="shared" si="10"/>
        <v>691532.91820867069</v>
      </c>
      <c r="I31" s="144">
        <f>IFERROR(_xlfn.XLOOKUP(B31,'S&amp;P Returns'!$A$2:$A$56,'S&amp;P Returns'!$E$2:$E$56), 0)</f>
        <v>5.9656942771009601E-2</v>
      </c>
      <c r="J31" s="98">
        <f t="shared" si="6"/>
        <v>4.7156942771009597E-2</v>
      </c>
      <c r="K31" s="99">
        <f t="shared" si="11"/>
        <v>0</v>
      </c>
      <c r="L31" s="102">
        <f t="shared" si="12"/>
        <v>935922.3083959634</v>
      </c>
      <c r="M31" s="101">
        <f t="shared" si="1"/>
        <v>0.1</v>
      </c>
      <c r="N31" s="102">
        <f t="shared" si="13"/>
        <v>0</v>
      </c>
      <c r="O31" s="103">
        <f t="shared" si="2"/>
        <v>1671500.9298752421</v>
      </c>
      <c r="P31" s="104">
        <f t="shared" si="7"/>
        <v>0.10061888812109317</v>
      </c>
      <c r="Q31" s="107">
        <f t="shared" si="14"/>
        <v>759473.59524656716</v>
      </c>
      <c r="R31" s="106">
        <f t="shared" si="3"/>
        <v>4.5562535146992406E-2</v>
      </c>
      <c r="S31" s="107">
        <f t="shared" si="15"/>
        <v>0</v>
      </c>
      <c r="T31" s="21"/>
      <c r="U31" s="108" t="s">
        <v>38</v>
      </c>
      <c r="V31" s="109">
        <f t="shared" si="4"/>
        <v>3122507.4433304798</v>
      </c>
    </row>
    <row r="32" spans="2:25" ht="18" x14ac:dyDescent="0.35">
      <c r="B32" s="92">
        <v>11</v>
      </c>
      <c r="C32" s="92">
        <f t="shared" si="0"/>
        <v>71</v>
      </c>
      <c r="D32" s="93">
        <f t="shared" si="8"/>
        <v>810170.95569710247</v>
      </c>
      <c r="E32" s="94">
        <f>IFERROR(_xlfn.XLOOKUP(B32,'S&amp;P Returns'!$A$2:$A$56,'S&amp;P Returns'!$C$2:$C$56), 0)</f>
        <v>-7.2659972058235402E-3</v>
      </c>
      <c r="F32" s="95">
        <f t="shared" si="5"/>
        <v>-1.9765997205823539E-2</v>
      </c>
      <c r="G32" s="96">
        <f t="shared" si="9"/>
        <v>0</v>
      </c>
      <c r="H32" s="97">
        <f t="shared" si="10"/>
        <v>724143.49645690632</v>
      </c>
      <c r="I32" s="144">
        <f>IFERROR(_xlfn.XLOOKUP(B32,'S&amp;P Returns'!$A$2:$A$56,'S&amp;P Returns'!$E$2:$E$56), 0)</f>
        <v>5.4995506368555802E-3</v>
      </c>
      <c r="J32" s="98">
        <f t="shared" si="6"/>
        <v>-7.0004493631444205E-3</v>
      </c>
      <c r="K32" s="99">
        <f t="shared" si="11"/>
        <v>0</v>
      </c>
      <c r="L32" s="102">
        <f t="shared" si="12"/>
        <v>1029514.5392355599</v>
      </c>
      <c r="M32" s="101">
        <f t="shared" si="1"/>
        <v>0</v>
      </c>
      <c r="N32" s="102">
        <f t="shared" si="13"/>
        <v>0</v>
      </c>
      <c r="O32" s="103">
        <f t="shared" si="2"/>
        <v>1839685.4949326622</v>
      </c>
      <c r="P32" s="104">
        <f t="shared" si="7"/>
        <v>-8.7046600577422532E-3</v>
      </c>
      <c r="Q32" s="107">
        <f t="shared" si="14"/>
        <v>794077.13762320159</v>
      </c>
      <c r="R32" s="106">
        <f t="shared" si="3"/>
        <v>0</v>
      </c>
      <c r="S32" s="107">
        <f t="shared" si="15"/>
        <v>0</v>
      </c>
      <c r="T32" s="21"/>
      <c r="U32" s="108" t="s">
        <v>39</v>
      </c>
      <c r="V32" s="109">
        <f t="shared" si="4"/>
        <v>3357906.12901277</v>
      </c>
    </row>
    <row r="33" spans="2:26" ht="18" x14ac:dyDescent="0.35">
      <c r="B33" s="92">
        <v>12</v>
      </c>
      <c r="C33" s="92">
        <f t="shared" si="0"/>
        <v>72</v>
      </c>
      <c r="D33" s="93">
        <f t="shared" si="8"/>
        <v>794157.11885055422</v>
      </c>
      <c r="E33" s="94">
        <f>IFERROR(_xlfn.XLOOKUP(B33,'S&amp;P Returns'!$A$2:$A$56,'S&amp;P Returns'!$C$2:$C$56), 0)</f>
        <v>9.5350226672836505E-2</v>
      </c>
      <c r="F33" s="95">
        <f t="shared" si="5"/>
        <v>8.2850226672836508E-2</v>
      </c>
      <c r="G33" s="96">
        <f t="shared" si="9"/>
        <v>0</v>
      </c>
      <c r="H33" s="97">
        <f t="shared" si="10"/>
        <v>719074.16657830938</v>
      </c>
      <c r="I33" s="144">
        <f>IFERROR(_xlfn.XLOOKUP(B33,'S&amp;P Returns'!$A$2:$A$56,'S&amp;P Returns'!$E$2:$E$56), 0)</f>
        <v>2.64747762803592E-2</v>
      </c>
      <c r="J33" s="98">
        <f t="shared" si="6"/>
        <v>1.3974776280359199E-2</v>
      </c>
      <c r="K33" s="99">
        <f t="shared" si="11"/>
        <v>0</v>
      </c>
      <c r="L33" s="102">
        <f t="shared" si="12"/>
        <v>1029514.5392355599</v>
      </c>
      <c r="M33" s="101">
        <f t="shared" si="1"/>
        <v>9.5350226672836505E-2</v>
      </c>
      <c r="N33" s="102">
        <f t="shared" si="13"/>
        <v>0</v>
      </c>
      <c r="O33" s="103">
        <f t="shared" si="2"/>
        <v>1823671.6580861141</v>
      </c>
      <c r="P33" s="104">
        <f t="shared" si="7"/>
        <v>8.9906832330650097E-2</v>
      </c>
      <c r="Q33" s="107">
        <f t="shared" si="14"/>
        <v>794077.13762320159</v>
      </c>
      <c r="R33" s="106">
        <f t="shared" si="3"/>
        <v>3.8140090669134603E-2</v>
      </c>
      <c r="S33" s="107">
        <f t="shared" si="15"/>
        <v>0</v>
      </c>
      <c r="T33" s="21"/>
      <c r="U33" s="108" t="s">
        <v>40</v>
      </c>
      <c r="V33" s="109">
        <f t="shared" si="4"/>
        <v>3336822.9622876248</v>
      </c>
    </row>
    <row r="34" spans="2:26" ht="18" x14ac:dyDescent="0.35">
      <c r="B34" s="92">
        <v>13</v>
      </c>
      <c r="C34" s="92">
        <f t="shared" si="0"/>
        <v>73</v>
      </c>
      <c r="D34" s="93">
        <f t="shared" si="8"/>
        <v>859953.21616116946</v>
      </c>
      <c r="E34" s="94">
        <f>IFERROR(_xlfn.XLOOKUP(B34,'S&amp;P Returns'!$A$2:$A$56,'S&amp;P Returns'!$C$2:$C$56), 0)</f>
        <v>0.19419965523287899</v>
      </c>
      <c r="F34" s="95">
        <f t="shared" si="5"/>
        <v>0.18169965523287898</v>
      </c>
      <c r="G34" s="96">
        <f t="shared" si="9"/>
        <v>0</v>
      </c>
      <c r="H34" s="97">
        <f t="shared" si="10"/>
        <v>729123.06718522706</v>
      </c>
      <c r="I34" s="144">
        <f>IFERROR(_xlfn.XLOOKUP(B34,'S&amp;P Returns'!$A$2:$A$56,'S&amp;P Returns'!$E$2:$E$56), 0)</f>
        <v>3.5418347187953003E-2</v>
      </c>
      <c r="J34" s="98">
        <f t="shared" si="6"/>
        <v>2.2918347187953002E-2</v>
      </c>
      <c r="K34" s="99">
        <f t="shared" si="11"/>
        <v>0</v>
      </c>
      <c r="L34" s="102">
        <f t="shared" si="12"/>
        <v>1127678.9839146514</v>
      </c>
      <c r="M34" s="101">
        <f t="shared" si="1"/>
        <v>0.1</v>
      </c>
      <c r="N34" s="102">
        <f t="shared" si="13"/>
        <v>0</v>
      </c>
      <c r="O34" s="103">
        <f t="shared" si="2"/>
        <v>1987632.200075821</v>
      </c>
      <c r="P34" s="104">
        <f t="shared" si="7"/>
        <v>0.1353475262043414</v>
      </c>
      <c r="Q34" s="107">
        <f t="shared" si="14"/>
        <v>824363.31165043742</v>
      </c>
      <c r="R34" s="106">
        <f t="shared" si="3"/>
        <v>7.76798620931516E-2</v>
      </c>
      <c r="S34" s="107">
        <f t="shared" si="15"/>
        <v>0</v>
      </c>
      <c r="T34" s="21"/>
      <c r="U34" s="108" t="s">
        <v>41</v>
      </c>
      <c r="V34" s="109">
        <f t="shared" si="4"/>
        <v>3541118.5789114852</v>
      </c>
    </row>
    <row r="35" spans="2:26" ht="18" x14ac:dyDescent="0.35">
      <c r="B35" s="92">
        <v>14</v>
      </c>
      <c r="C35" s="92">
        <f t="shared" si="0"/>
        <v>74</v>
      </c>
      <c r="D35" s="93">
        <f t="shared" si="8"/>
        <v>1016206.4190540593</v>
      </c>
      <c r="E35" s="94">
        <f>IFERROR(_xlfn.XLOOKUP(B35,'S&amp;P Returns'!$A$2:$A$56,'S&amp;P Returns'!$C$2:$C$56), 0)</f>
        <v>-6.2372598496206799E-2</v>
      </c>
      <c r="F35" s="95">
        <f t="shared" si="5"/>
        <v>-7.4872598496206796E-2</v>
      </c>
      <c r="G35" s="96">
        <f t="shared" si="9"/>
        <v>0</v>
      </c>
      <c r="H35" s="97">
        <f t="shared" si="10"/>
        <v>745833.36278172326</v>
      </c>
      <c r="I35" s="144">
        <f>IFERROR(_xlfn.XLOOKUP(B35,'S&amp;P Returns'!$A$2:$A$56,'S&amp;P Returns'!$E$2:$E$56), 0)</f>
        <v>1.13664647079847E-4</v>
      </c>
      <c r="J35" s="98">
        <f t="shared" si="6"/>
        <v>-1.2386335352920153E-2</v>
      </c>
      <c r="K35" s="99">
        <f t="shared" si="11"/>
        <v>0</v>
      </c>
      <c r="L35" s="102">
        <f t="shared" si="12"/>
        <v>1240446.8823061166</v>
      </c>
      <c r="M35" s="101">
        <f t="shared" si="1"/>
        <v>0</v>
      </c>
      <c r="N35" s="102">
        <f t="shared" si="13"/>
        <v>0</v>
      </c>
      <c r="O35" s="103">
        <f t="shared" si="2"/>
        <v>2256653.3013601759</v>
      </c>
      <c r="P35" s="104">
        <f t="shared" si="7"/>
        <v>-3.3716306867892551E-2</v>
      </c>
      <c r="Q35" s="107">
        <f t="shared" si="14"/>
        <v>888399.74001409719</v>
      </c>
      <c r="R35" s="106">
        <f t="shared" si="3"/>
        <v>0</v>
      </c>
      <c r="S35" s="107">
        <f t="shared" si="15"/>
        <v>0</v>
      </c>
      <c r="T35" s="21"/>
      <c r="U35" s="108" t="s">
        <v>42</v>
      </c>
      <c r="V35" s="109">
        <f t="shared" si="4"/>
        <v>3890886.4041559962</v>
      </c>
    </row>
    <row r="36" spans="2:26" ht="18" x14ac:dyDescent="0.35">
      <c r="B36" s="92">
        <v>15</v>
      </c>
      <c r="C36" s="92">
        <f t="shared" si="0"/>
        <v>75</v>
      </c>
      <c r="D36" s="93">
        <f t="shared" si="8"/>
        <v>940120.4038509567</v>
      </c>
      <c r="E36" s="94">
        <f>IFERROR(_xlfn.XLOOKUP(B36,'S&amp;P Returns'!$A$2:$A$56,'S&amp;P Returns'!$C$2:$C$56), 0)</f>
        <v>0.28878070225158398</v>
      </c>
      <c r="F36" s="95">
        <f t="shared" si="5"/>
        <v>0.27628070225158397</v>
      </c>
      <c r="G36" s="96">
        <f t="shared" si="9"/>
        <v>0</v>
      </c>
      <c r="H36" s="97">
        <f t="shared" si="10"/>
        <v>736595.22063291271</v>
      </c>
      <c r="I36" s="144">
        <f>IFERROR(_xlfn.XLOOKUP(B36,'S&amp;P Returns'!$A$2:$A$56,'S&amp;P Returns'!$E$2:$E$56), 0)</f>
        <v>8.7167006236631206E-2</v>
      </c>
      <c r="J36" s="98">
        <f t="shared" si="6"/>
        <v>7.4667006236631209E-2</v>
      </c>
      <c r="K36" s="99">
        <f t="shared" si="11"/>
        <v>0</v>
      </c>
      <c r="L36" s="102">
        <f t="shared" si="12"/>
        <v>1240446.8823061166</v>
      </c>
      <c r="M36" s="101">
        <f t="shared" si="1"/>
        <v>0.1</v>
      </c>
      <c r="N36" s="102">
        <f t="shared" si="13"/>
        <v>0</v>
      </c>
      <c r="O36" s="103">
        <f t="shared" si="2"/>
        <v>2180567.2861570735</v>
      </c>
      <c r="P36" s="104">
        <f t="shared" si="7"/>
        <v>0.17600090400510196</v>
      </c>
      <c r="Q36" s="107">
        <f t="shared" si="14"/>
        <v>888399.74001409719</v>
      </c>
      <c r="R36" s="106">
        <f t="shared" si="3"/>
        <v>0.11551228090063359</v>
      </c>
      <c r="S36" s="107">
        <f t="shared" si="15"/>
        <v>0</v>
      </c>
      <c r="T36" s="21"/>
      <c r="U36" s="108" t="s">
        <v>43</v>
      </c>
      <c r="V36" s="109">
        <f t="shared" si="4"/>
        <v>3805562.2468040832</v>
      </c>
    </row>
    <row r="37" spans="2:26" ht="18" x14ac:dyDescent="0.35">
      <c r="B37" s="92">
        <v>16</v>
      </c>
      <c r="C37" s="92">
        <f t="shared" si="0"/>
        <v>76</v>
      </c>
      <c r="D37" s="93">
        <f t="shared" si="8"/>
        <v>1199857.5292279415</v>
      </c>
      <c r="E37" s="94">
        <f>IFERROR(_xlfn.XLOOKUP(B37,'S&amp;P Returns'!$A$2:$A$56,'S&amp;P Returns'!$C$2:$C$56), 0)</f>
        <v>0.16258923055706101</v>
      </c>
      <c r="F37" s="95">
        <f t="shared" si="5"/>
        <v>0.150089230557061</v>
      </c>
      <c r="G37" s="96">
        <f t="shared" si="9"/>
        <v>0</v>
      </c>
      <c r="H37" s="97">
        <f t="shared" si="10"/>
        <v>791594.5805657832</v>
      </c>
      <c r="I37" s="144">
        <f>IFERROR(_xlfn.XLOOKUP(B37,'S&amp;P Returns'!$A$2:$A$56,'S&amp;P Returns'!$E$2:$E$56), 0)</f>
        <v>7.5066347766227601E-2</v>
      </c>
      <c r="J37" s="98">
        <f t="shared" si="6"/>
        <v>6.2566347766227604E-2</v>
      </c>
      <c r="K37" s="99">
        <f t="shared" si="11"/>
        <v>0</v>
      </c>
      <c r="L37" s="102">
        <f t="shared" si="12"/>
        <v>1364491.5705367285</v>
      </c>
      <c r="M37" s="101">
        <f t="shared" si="1"/>
        <v>0.1</v>
      </c>
      <c r="N37" s="102">
        <f t="shared" si="13"/>
        <v>0</v>
      </c>
      <c r="O37" s="103">
        <f t="shared" si="2"/>
        <v>2564349.0997646702</v>
      </c>
      <c r="P37" s="104">
        <f t="shared" si="7"/>
        <v>0.12343672334731604</v>
      </c>
      <c r="Q37" s="107">
        <f t="shared" si="14"/>
        <v>991020.82033465558</v>
      </c>
      <c r="R37" s="106">
        <f t="shared" si="3"/>
        <v>6.5035692222824404E-2</v>
      </c>
      <c r="S37" s="107">
        <f t="shared" si="15"/>
        <v>0</v>
      </c>
      <c r="T37" s="21"/>
      <c r="U37" s="108" t="s">
        <v>44</v>
      </c>
      <c r="V37" s="109">
        <f t="shared" si="4"/>
        <v>4346964.5006651087</v>
      </c>
    </row>
    <row r="38" spans="2:26" ht="18" x14ac:dyDescent="0.35">
      <c r="B38" s="92">
        <v>17</v>
      </c>
      <c r="C38" s="92">
        <f t="shared" si="0"/>
        <v>77</v>
      </c>
      <c r="D38" s="93">
        <f t="shared" si="8"/>
        <v>1379943.2225678596</v>
      </c>
      <c r="E38" s="94">
        <f>IFERROR(_xlfn.XLOOKUP(B38,'S&amp;P Returns'!$A$2:$A$56,'S&amp;P Returns'!$C$2:$C$56), 0)</f>
        <v>0.26892738661371202</v>
      </c>
      <c r="F38" s="95">
        <f t="shared" si="5"/>
        <v>0.25642738661371201</v>
      </c>
      <c r="G38" s="96">
        <f t="shared" si="9"/>
        <v>0</v>
      </c>
      <c r="H38" s="97">
        <f t="shared" si="10"/>
        <v>841121.76238332316</v>
      </c>
      <c r="I38" s="144">
        <f>IFERROR(_xlfn.XLOOKUP(B38,'S&amp;P Returns'!$A$2:$A$56,'S&amp;P Returns'!$E$2:$E$56), 0)</f>
        <v>-1.54188121352422E-2</v>
      </c>
      <c r="J38" s="98">
        <f t="shared" si="6"/>
        <v>-2.7918812135242201E-2</v>
      </c>
      <c r="K38" s="99">
        <f t="shared" si="11"/>
        <v>0</v>
      </c>
      <c r="L38" s="102">
        <f t="shared" si="12"/>
        <v>1500940.7275904014</v>
      </c>
      <c r="M38" s="101">
        <f t="shared" si="1"/>
        <v>0.1</v>
      </c>
      <c r="N38" s="102">
        <f t="shared" si="13"/>
        <v>0</v>
      </c>
      <c r="O38" s="103">
        <f t="shared" si="2"/>
        <v>2880883.9501582608</v>
      </c>
      <c r="P38" s="104">
        <f t="shared" si="7"/>
        <v>0.17492870789527512</v>
      </c>
      <c r="Q38" s="107">
        <f t="shared" si="14"/>
        <v>1055472.5453923512</v>
      </c>
      <c r="R38" s="106">
        <f t="shared" si="3"/>
        <v>0.10757095464548481</v>
      </c>
      <c r="S38" s="107">
        <f t="shared" si="15"/>
        <v>0</v>
      </c>
      <c r="T38" s="21"/>
      <c r="U38" s="108" t="s">
        <v>45</v>
      </c>
      <c r="V38" s="109">
        <f t="shared" si="4"/>
        <v>4777478.2579339352</v>
      </c>
    </row>
    <row r="39" spans="2:26" ht="18" x14ac:dyDescent="0.35">
      <c r="B39" s="92">
        <v>18</v>
      </c>
      <c r="C39" s="92">
        <f t="shared" si="0"/>
        <v>78</v>
      </c>
      <c r="D39" s="93">
        <f t="shared" si="8"/>
        <v>1733798.4568062399</v>
      </c>
      <c r="E39" s="94">
        <f>IFERROR(_xlfn.XLOOKUP(B39,'S&amp;P Returns'!$A$2:$A$56,'S&amp;P Returns'!$C$2:$C$56), 0)</f>
        <v>-0.194428272034292</v>
      </c>
      <c r="F39" s="95">
        <f t="shared" si="5"/>
        <v>-0.20692827203429201</v>
      </c>
      <c r="G39" s="96">
        <f t="shared" si="9"/>
        <v>0</v>
      </c>
      <c r="H39" s="97">
        <f t="shared" si="10"/>
        <v>817638.64191647933</v>
      </c>
      <c r="I39" s="144">
        <f>IFERROR(_xlfn.XLOOKUP(B39,'S&amp;P Returns'!$A$2:$A$56,'S&amp;P Returns'!$E$2:$E$56), 0)</f>
        <v>-0.13010266905576701</v>
      </c>
      <c r="J39" s="98">
        <f t="shared" si="6"/>
        <v>-0.14260266905576702</v>
      </c>
      <c r="K39" s="99">
        <f t="shared" si="11"/>
        <v>0</v>
      </c>
      <c r="L39" s="102">
        <f t="shared" si="12"/>
        <v>1651034.8003494416</v>
      </c>
      <c r="M39" s="101">
        <f t="shared" si="1"/>
        <v>0</v>
      </c>
      <c r="N39" s="102">
        <f t="shared" si="13"/>
        <v>0</v>
      </c>
      <c r="O39" s="103">
        <f t="shared" si="2"/>
        <v>3384833.2571556815</v>
      </c>
      <c r="P39" s="104">
        <f t="shared" si="7"/>
        <v>-0.10599397118430527</v>
      </c>
      <c r="Q39" s="107">
        <f t="shared" si="14"/>
        <v>1169010.7347023063</v>
      </c>
      <c r="R39" s="106">
        <f t="shared" si="3"/>
        <v>0</v>
      </c>
      <c r="S39" s="107">
        <f t="shared" si="15"/>
        <v>0</v>
      </c>
      <c r="T39" s="21"/>
      <c r="U39" s="108" t="s">
        <v>46</v>
      </c>
      <c r="V39" s="109">
        <f t="shared" si="4"/>
        <v>5371482.6337744668</v>
      </c>
    </row>
    <row r="40" spans="2:26" s="22" customFormat="1" ht="18" x14ac:dyDescent="0.35">
      <c r="B40" s="92">
        <v>19</v>
      </c>
      <c r="C40" s="92">
        <f t="shared" si="0"/>
        <v>79</v>
      </c>
      <c r="D40" s="93">
        <f t="shared" si="8"/>
        <v>1375026.5380836027</v>
      </c>
      <c r="E40" s="94">
        <f>IFERROR(_xlfn.XLOOKUP(B40,'S&amp;P Returns'!$A$2:$A$56,'S&amp;P Returns'!$C$2:$C$56), 0)</f>
        <v>0.24229999999999999</v>
      </c>
      <c r="F40" s="95">
        <f t="shared" si="5"/>
        <v>0.22979999999999998</v>
      </c>
      <c r="G40" s="96">
        <f t="shared" si="9"/>
        <v>0</v>
      </c>
      <c r="H40" s="97">
        <f t="shared" si="10"/>
        <v>701041.18925605679</v>
      </c>
      <c r="I40" s="144">
        <f>IFERROR(_xlfn.XLOOKUP(B40,'S&amp;P Returns'!$A$2:$A$56,'S&amp;P Returns'!$E$2:$E$56), 0)</f>
        <v>5.5E-2</v>
      </c>
      <c r="J40" s="98">
        <f t="shared" si="6"/>
        <v>4.2499999999999996E-2</v>
      </c>
      <c r="K40" s="99">
        <f t="shared" si="11"/>
        <v>0</v>
      </c>
      <c r="L40" s="102">
        <f t="shared" si="12"/>
        <v>1651034.8003494416</v>
      </c>
      <c r="M40" s="101">
        <f t="shared" si="1"/>
        <v>0.1</v>
      </c>
      <c r="N40" s="102">
        <f t="shared" si="13"/>
        <v>0</v>
      </c>
      <c r="O40" s="103">
        <f t="shared" si="2"/>
        <v>3026061.338433044</v>
      </c>
      <c r="P40" s="104">
        <f t="shared" si="7"/>
        <v>0.15898044510084899</v>
      </c>
      <c r="Q40" s="107">
        <f t="shared" si="14"/>
        <v>1169010.7347023063</v>
      </c>
      <c r="R40" s="106">
        <f t="shared" si="3"/>
        <v>9.6920000000000006E-2</v>
      </c>
      <c r="S40" s="107">
        <f t="shared" si="15"/>
        <v>0</v>
      </c>
      <c r="T40" s="21"/>
      <c r="U40" s="108" t="s">
        <v>47</v>
      </c>
      <c r="V40" s="109">
        <f t="shared" si="4"/>
        <v>4896113.262391407</v>
      </c>
      <c r="Y40"/>
    </row>
    <row r="41" spans="2:26" ht="18.600000000000001" thickBot="1" x14ac:dyDescent="0.4">
      <c r="B41" s="157">
        <v>20</v>
      </c>
      <c r="C41" s="157">
        <f t="shared" si="0"/>
        <v>80</v>
      </c>
      <c r="D41" s="158">
        <f t="shared" si="8"/>
        <v>1691007.6365352145</v>
      </c>
      <c r="E41" s="159">
        <f>IFERROR(_xlfn.XLOOKUP(B41,'S&amp;P Returns'!$A$2:$A$56,'S&amp;P Returns'!$C$2:$C$56), 0)</f>
        <v>0.2331</v>
      </c>
      <c r="F41" s="160">
        <f t="shared" si="5"/>
        <v>0.22059999999999999</v>
      </c>
      <c r="G41" s="161">
        <f t="shared" si="9"/>
        <v>0</v>
      </c>
      <c r="H41" s="162">
        <f t="shared" si="10"/>
        <v>730835.43979943916</v>
      </c>
      <c r="I41" s="163">
        <f>IFERROR(_xlfn.XLOOKUP(B41,'S&amp;P Returns'!$A$2:$A$56,'S&amp;P Returns'!$E$2:$E$56), 0)</f>
        <v>1.2500000000000001E-2</v>
      </c>
      <c r="J41" s="164">
        <f t="shared" si="6"/>
        <v>0</v>
      </c>
      <c r="K41" s="194">
        <f t="shared" si="11"/>
        <v>0</v>
      </c>
      <c r="L41" s="165">
        <f t="shared" si="12"/>
        <v>1816138.280384386</v>
      </c>
      <c r="M41" s="166">
        <f t="shared" si="1"/>
        <v>0.1</v>
      </c>
      <c r="N41" s="165">
        <f t="shared" si="13"/>
        <v>0</v>
      </c>
      <c r="O41" s="167">
        <f t="shared" si="2"/>
        <v>3507145.9169196002</v>
      </c>
      <c r="P41" s="168">
        <f t="shared" si="7"/>
        <v>0.15814857031818852</v>
      </c>
      <c r="Q41" s="169">
        <f t="shared" si="14"/>
        <v>1282311.2551096538</v>
      </c>
      <c r="R41" s="170">
        <f t="shared" si="3"/>
        <v>9.3240000000000003E-2</v>
      </c>
      <c r="S41" s="169">
        <f t="shared" si="15"/>
        <v>0</v>
      </c>
      <c r="T41" s="21"/>
      <c r="U41" s="173" t="s">
        <v>48</v>
      </c>
      <c r="V41" s="174">
        <f t="shared" si="4"/>
        <v>5520292.6118286932</v>
      </c>
      <c r="Y41" s="29"/>
      <c r="Z41" s="29"/>
    </row>
    <row r="42" spans="2:26" ht="18.75" customHeight="1" thickBot="1" x14ac:dyDescent="0.4">
      <c r="B42" s="227" t="s">
        <v>26</v>
      </c>
      <c r="C42" s="228"/>
      <c r="D42" s="156">
        <f t="shared" si="8"/>
        <v>2064043.9211548828</v>
      </c>
      <c r="E42" s="110"/>
      <c r="F42" s="110"/>
      <c r="G42" s="175">
        <f>SUM(G21:G41)</f>
        <v>0</v>
      </c>
      <c r="H42" s="111">
        <f>H41*(1+J41)+K41</f>
        <v>730835.43979943916</v>
      </c>
      <c r="I42" s="110"/>
      <c r="J42" s="110"/>
      <c r="K42" s="192">
        <f>SUM(K20:K41)</f>
        <v>0</v>
      </c>
      <c r="L42" s="112">
        <f>L41*(1+M41)</f>
        <v>1997752.1084228246</v>
      </c>
      <c r="M42" s="110"/>
      <c r="N42" s="193">
        <f>SUM(N20:N41)</f>
        <v>0</v>
      </c>
      <c r="O42" s="113">
        <f t="shared" si="2"/>
        <v>4061796.0295777074</v>
      </c>
      <c r="P42" s="114"/>
      <c r="Q42" s="115">
        <f>Q41*(1+R41)</f>
        <v>1401873.9565360779</v>
      </c>
      <c r="R42" s="110"/>
      <c r="S42" s="191">
        <f>SUM(S21:S41)</f>
        <v>0</v>
      </c>
      <c r="T42" s="116"/>
      <c r="U42" s="171" t="s">
        <v>53</v>
      </c>
      <c r="V42" s="172">
        <f t="shared" si="4"/>
        <v>6194505.4259132249</v>
      </c>
      <c r="Y42" s="29"/>
    </row>
    <row r="43" spans="2:26" ht="19.5" hidden="1" customHeight="1" thickBot="1" x14ac:dyDescent="0.4">
      <c r="B43" s="21"/>
      <c r="C43" s="21"/>
      <c r="D43" s="21"/>
      <c r="E43" s="21"/>
      <c r="F43" s="21"/>
      <c r="G43" s="21"/>
      <c r="H43" s="21"/>
      <c r="I43" s="21"/>
      <c r="J43" s="21"/>
      <c r="K43" s="21"/>
      <c r="L43" s="21"/>
      <c r="M43" s="117"/>
      <c r="N43" s="117"/>
      <c r="O43" s="21"/>
      <c r="P43" s="21"/>
      <c r="Q43" s="21"/>
      <c r="R43" s="117"/>
      <c r="S43" s="117"/>
      <c r="T43" s="21"/>
      <c r="U43" s="21"/>
      <c r="V43" s="21"/>
    </row>
    <row r="44" spans="2:26" ht="18.75" hidden="1" customHeight="1" x14ac:dyDescent="0.35">
      <c r="B44" s="21"/>
      <c r="C44" s="21"/>
      <c r="D44" s="118" t="s">
        <v>27</v>
      </c>
      <c r="E44" s="229">
        <f>RATE($B$41,0,-D21,D42,0,0)</f>
        <v>7.3463906361817197E-2</v>
      </c>
      <c r="F44" s="230"/>
      <c r="G44" s="230"/>
      <c r="H44" s="119"/>
      <c r="I44" s="119"/>
      <c r="J44" s="119"/>
      <c r="K44" s="119"/>
      <c r="L44" s="120" t="s">
        <v>27</v>
      </c>
      <c r="M44" s="231">
        <f>RATE($B$41,0,-L21,L42,0,0)</f>
        <v>7.1713199593651397E-2</v>
      </c>
      <c r="N44" s="232"/>
      <c r="O44" s="121" t="s">
        <v>27</v>
      </c>
      <c r="P44" s="122">
        <f>RATE($B$41,0,-O21,O42,0,0)</f>
        <v>7.2595339363594677E-2</v>
      </c>
      <c r="Q44" s="120" t="s">
        <v>27</v>
      </c>
      <c r="R44" s="231">
        <f>RATE($B$41,0,-Q21,Q42,0,0)</f>
        <v>5.2899569622261722E-2</v>
      </c>
      <c r="S44" s="233"/>
      <c r="T44" s="21"/>
      <c r="U44" s="21"/>
      <c r="V44" s="21"/>
    </row>
    <row r="45" spans="2:26" ht="5.25" customHeight="1" x14ac:dyDescent="0.35">
      <c r="B45" s="21"/>
      <c r="C45" s="21"/>
      <c r="D45" s="123"/>
      <c r="E45" s="124"/>
      <c r="F45" s="124"/>
      <c r="G45" s="124"/>
      <c r="H45" s="124"/>
      <c r="I45" s="124"/>
      <c r="J45" s="124"/>
      <c r="K45" s="124"/>
      <c r="L45" s="123"/>
      <c r="M45" s="124"/>
      <c r="N45" s="124"/>
      <c r="O45" s="123"/>
      <c r="P45" s="124"/>
      <c r="Q45" s="123"/>
      <c r="R45" s="124"/>
      <c r="S45" s="124"/>
      <c r="T45" s="21"/>
      <c r="U45" s="21"/>
      <c r="V45" s="21"/>
    </row>
    <row r="46" spans="2:26" ht="15" customHeight="1" x14ac:dyDescent="0.35">
      <c r="B46" s="21"/>
      <c r="C46" s="21"/>
      <c r="D46" s="146" t="s">
        <v>28</v>
      </c>
      <c r="E46" s="147">
        <f>AVERAGE(F21:F41)</f>
        <v>8.4360483397310337E-2</v>
      </c>
      <c r="F46" s="148"/>
      <c r="G46" s="148"/>
      <c r="H46" s="149" t="s">
        <v>28</v>
      </c>
      <c r="I46" s="149">
        <f>AVERAGE(J21:J41)</f>
        <v>1.9381201454851178E-2</v>
      </c>
      <c r="J46" s="148"/>
      <c r="K46" s="148"/>
      <c r="L46" s="150" t="s">
        <v>28</v>
      </c>
      <c r="M46" s="151">
        <f>AVERAGE(M21:M41)</f>
        <v>6.9075748001288517E-2</v>
      </c>
      <c r="N46" s="148"/>
      <c r="O46" s="152" t="s">
        <v>28</v>
      </c>
      <c r="P46" s="153">
        <f>AVERAGE(P21:P41)</f>
        <v>7.3759182734270082E-2</v>
      </c>
      <c r="Q46" s="154" t="s">
        <v>28</v>
      </c>
      <c r="R46" s="155">
        <f>AVERAGE(R21:R41)</f>
        <v>5.1105272121006552E-2</v>
      </c>
      <c r="S46" s="124"/>
      <c r="T46" s="21"/>
      <c r="U46" s="21"/>
      <c r="V46" s="125"/>
      <c r="Y46" s="29"/>
    </row>
    <row r="47" spans="2:26" x14ac:dyDescent="0.3">
      <c r="O47" s="23"/>
      <c r="P47" s="23"/>
      <c r="Y47" s="29"/>
    </row>
    <row r="48" spans="2:26" ht="87" customHeight="1" x14ac:dyDescent="0.3">
      <c r="B48" s="223" t="s">
        <v>49</v>
      </c>
      <c r="C48" s="223"/>
      <c r="D48" s="223"/>
      <c r="E48" s="223"/>
      <c r="F48" s="223"/>
      <c r="G48" s="223"/>
      <c r="H48" s="223"/>
      <c r="I48" s="223"/>
      <c r="J48" s="223"/>
      <c r="K48" s="223"/>
      <c r="L48" s="223"/>
      <c r="M48" s="223"/>
      <c r="N48" s="223"/>
      <c r="O48" s="223"/>
      <c r="P48" s="223"/>
      <c r="Q48" s="223"/>
      <c r="R48" s="223"/>
      <c r="S48" s="223"/>
      <c r="T48" s="223"/>
      <c r="U48" s="223"/>
      <c r="V48" s="223"/>
      <c r="Y48" s="29"/>
    </row>
    <row r="49" spans="2:25" ht="3" customHeight="1" x14ac:dyDescent="0.3">
      <c r="B49" s="24"/>
      <c r="C49" s="24"/>
      <c r="D49" s="24"/>
      <c r="E49" s="24"/>
      <c r="F49" s="24"/>
      <c r="G49" s="24"/>
      <c r="H49" s="75"/>
      <c r="I49" s="75"/>
      <c r="J49" s="24"/>
      <c r="K49" s="24"/>
      <c r="L49" s="24"/>
      <c r="M49" s="25"/>
      <c r="N49" s="25"/>
      <c r="O49" s="24"/>
      <c r="P49" s="24"/>
      <c r="Y49" s="29"/>
    </row>
    <row r="50" spans="2:25" ht="15.75" customHeight="1" x14ac:dyDescent="0.3">
      <c r="B50" s="223" t="s">
        <v>50</v>
      </c>
      <c r="C50" s="223"/>
      <c r="D50" s="223"/>
      <c r="E50" s="223"/>
      <c r="F50" s="223"/>
      <c r="G50" s="223"/>
      <c r="H50" s="223"/>
      <c r="I50" s="223"/>
      <c r="J50" s="223"/>
      <c r="K50" s="223"/>
      <c r="L50" s="223"/>
      <c r="M50" s="223"/>
      <c r="N50" s="223"/>
      <c r="O50" s="223"/>
      <c r="P50" s="223"/>
      <c r="Q50" s="223"/>
      <c r="R50" s="223"/>
      <c r="S50" s="223"/>
      <c r="T50" s="223"/>
      <c r="U50" s="223"/>
      <c r="V50" s="223"/>
      <c r="Y50" s="29"/>
    </row>
    <row r="51" spans="2:25" ht="2.25" customHeight="1" x14ac:dyDescent="0.3">
      <c r="B51" s="75"/>
      <c r="C51" s="75"/>
      <c r="D51" s="75"/>
      <c r="E51" s="75"/>
      <c r="F51" s="75"/>
      <c r="G51" s="75"/>
      <c r="H51" s="75"/>
      <c r="I51" s="75"/>
      <c r="J51" s="75"/>
      <c r="K51" s="75"/>
      <c r="L51" s="75"/>
      <c r="M51" s="75"/>
      <c r="N51" s="75"/>
      <c r="O51" s="75"/>
      <c r="P51" s="75"/>
      <c r="Y51" s="29"/>
    </row>
    <row r="52" spans="2:25" ht="30.75" customHeight="1" x14ac:dyDescent="0.3">
      <c r="B52" s="223" t="s">
        <v>51</v>
      </c>
      <c r="C52" s="223"/>
      <c r="D52" s="223"/>
      <c r="E52" s="223"/>
      <c r="F52" s="223"/>
      <c r="G52" s="223"/>
      <c r="H52" s="223"/>
      <c r="I52" s="223"/>
      <c r="J52" s="223"/>
      <c r="K52" s="223"/>
      <c r="L52" s="223"/>
      <c r="M52" s="223"/>
      <c r="N52" s="223"/>
      <c r="O52" s="223"/>
      <c r="P52" s="223"/>
      <c r="Q52" s="223"/>
      <c r="R52" s="223"/>
      <c r="S52" s="223"/>
      <c r="T52" s="223"/>
      <c r="U52" s="223"/>
      <c r="V52" s="223"/>
      <c r="Y52" s="29"/>
    </row>
    <row r="53" spans="2:25" ht="409.5" customHeight="1" x14ac:dyDescent="0.3">
      <c r="B53" s="224" t="s">
        <v>52</v>
      </c>
      <c r="C53" s="224"/>
      <c r="D53" s="224"/>
      <c r="E53" s="224"/>
      <c r="F53" s="224"/>
      <c r="G53" s="224"/>
      <c r="H53" s="224"/>
      <c r="I53" s="224"/>
      <c r="J53" s="224"/>
      <c r="K53" s="224"/>
      <c r="L53" s="224"/>
      <c r="M53" s="224"/>
      <c r="N53" s="224"/>
      <c r="O53" s="224"/>
      <c r="P53" s="224"/>
      <c r="Q53" s="224"/>
      <c r="R53" s="224"/>
      <c r="S53" s="224"/>
      <c r="T53" s="224"/>
      <c r="U53" s="224"/>
      <c r="V53" s="224"/>
      <c r="Y53" s="29"/>
    </row>
    <row r="54" spans="2:25" x14ac:dyDescent="0.3">
      <c r="B54" s="224"/>
      <c r="C54" s="224"/>
      <c r="D54" s="224"/>
      <c r="E54" s="224"/>
      <c r="F54" s="224"/>
      <c r="G54" s="224"/>
      <c r="H54" s="224"/>
      <c r="I54" s="224"/>
      <c r="J54" s="224"/>
      <c r="K54" s="224"/>
      <c r="L54" s="224"/>
      <c r="M54" s="224"/>
      <c r="N54" s="224"/>
      <c r="O54" s="224"/>
      <c r="P54" s="224"/>
      <c r="Q54" s="224"/>
      <c r="R54" s="224"/>
      <c r="S54" s="224"/>
      <c r="T54" s="224"/>
      <c r="U54" s="224"/>
      <c r="V54" s="224"/>
      <c r="Y54" s="29"/>
    </row>
    <row r="55" spans="2:25" x14ac:dyDescent="0.3">
      <c r="Y55" s="29"/>
    </row>
    <row r="56" spans="2:25" x14ac:dyDescent="0.3">
      <c r="Y56" s="29"/>
    </row>
    <row r="57" spans="2:25" x14ac:dyDescent="0.3">
      <c r="Y57" s="29"/>
    </row>
    <row r="58" spans="2:25" x14ac:dyDescent="0.3">
      <c r="Y58" s="29"/>
    </row>
    <row r="59" spans="2:25" x14ac:dyDescent="0.3">
      <c r="Y59" s="29"/>
    </row>
    <row r="60" spans="2:25" x14ac:dyDescent="0.3">
      <c r="Y60" s="29"/>
    </row>
    <row r="61" spans="2:25" x14ac:dyDescent="0.3">
      <c r="Y61" s="29"/>
    </row>
    <row r="62" spans="2:25" x14ac:dyDescent="0.3">
      <c r="Y62" s="29"/>
    </row>
  </sheetData>
  <mergeCells count="32">
    <mergeCell ref="B17:C17"/>
    <mergeCell ref="B52:V52"/>
    <mergeCell ref="B53:V54"/>
    <mergeCell ref="Q19:S19"/>
    <mergeCell ref="U19:V19"/>
    <mergeCell ref="B42:C42"/>
    <mergeCell ref="E44:G44"/>
    <mergeCell ref="M44:N44"/>
    <mergeCell ref="R44:S44"/>
    <mergeCell ref="B19:C19"/>
    <mergeCell ref="D19:G19"/>
    <mergeCell ref="H19:K19"/>
    <mergeCell ref="L19:N19"/>
    <mergeCell ref="O19:P19"/>
    <mergeCell ref="B48:V48"/>
    <mergeCell ref="B50:V50"/>
    <mergeCell ref="B1:V1"/>
    <mergeCell ref="B2:V2"/>
    <mergeCell ref="B4:D4"/>
    <mergeCell ref="B14:C14"/>
    <mergeCell ref="B16:C16"/>
    <mergeCell ref="B15:C15"/>
    <mergeCell ref="B5:C5"/>
    <mergeCell ref="B7:C7"/>
    <mergeCell ref="B6:C6"/>
    <mergeCell ref="B9:C9"/>
    <mergeCell ref="B10:C10"/>
    <mergeCell ref="B11:C11"/>
    <mergeCell ref="B12:C12"/>
    <mergeCell ref="B8:C8"/>
    <mergeCell ref="G6:H6"/>
    <mergeCell ref="B13:C13"/>
  </mergeCells>
  <phoneticPr fontId="12" type="noConversion"/>
  <conditionalFormatting sqref="D21:F21 G21:S41 E22:F41 D22:D42">
    <cfRule type="cellIs" dxfId="5" priority="6" operator="lessThan">
      <formula>0</formula>
    </cfRule>
  </conditionalFormatting>
  <conditionalFormatting sqref="G42">
    <cfRule type="cellIs" dxfId="4" priority="5" operator="lessThan">
      <formula>0</formula>
    </cfRule>
  </conditionalFormatting>
  <conditionalFormatting sqref="K42">
    <cfRule type="cellIs" dxfId="3" priority="3" operator="lessThan">
      <formula>0</formula>
    </cfRule>
  </conditionalFormatting>
  <conditionalFormatting sqref="N42">
    <cfRule type="cellIs" dxfId="2" priority="4" operator="lessThan">
      <formula>0</formula>
    </cfRule>
  </conditionalFormatting>
  <conditionalFormatting sqref="S42">
    <cfRule type="cellIs" dxfId="1" priority="1" operator="lessThan">
      <formula>0</formula>
    </cfRule>
  </conditionalFormatting>
  <dataValidations count="1">
    <dataValidation type="list" allowBlank="1" showInputMessage="1" showErrorMessage="1" sqref="H13" xr:uid="{14B25E9E-81D6-45F8-BC88-5B64380A401D}">
      <formula1>$B$21:$B$41</formula1>
    </dataValidation>
  </dataValidations>
  <pageMargins left="0.7" right="0.7" top="0.75" bottom="0.75" header="0.3" footer="0.3"/>
  <pageSetup scale="37" orientation="landscape" verticalDpi="597" r:id="rId1"/>
  <extLst>
    <ext xmlns:x14="http://schemas.microsoft.com/office/spreadsheetml/2009/9/main" uri="{CCE6A557-97BC-4b89-ADB6-D9C93CAAB3DF}">
      <x14:dataValidations xmlns:xm="http://schemas.microsoft.com/office/excel/2006/main" count="1">
        <x14:dataValidation type="list" allowBlank="1" showInputMessage="1" showErrorMessage="1" xr:uid="{C69DF182-9158-4DAE-A6E7-3790DBD614D1}">
          <x14:formula1>
            <xm:f>'S&amp;P Returns'!$B$22:$B$36</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558A-C287-4F31-9B6B-98C358929F36}">
  <sheetPr codeName="Sheet2"/>
  <dimension ref="A1:J65"/>
  <sheetViews>
    <sheetView showGridLines="0" topLeftCell="B1" workbookViewId="0">
      <selection activeCell="H33" sqref="H33"/>
    </sheetView>
  </sheetViews>
  <sheetFormatPr defaultColWidth="8.6640625" defaultRowHeight="13.8" x14ac:dyDescent="0.25"/>
  <cols>
    <col min="1" max="1" width="5" style="37" hidden="1" customWidth="1"/>
    <col min="2" max="2" width="5.5546875" style="37" bestFit="1" customWidth="1"/>
    <col min="3" max="3" width="18.109375" style="38" bestFit="1" customWidth="1"/>
    <col min="4" max="4" width="18.109375" style="37" bestFit="1" customWidth="1"/>
    <col min="5" max="5" width="13.33203125" style="37" bestFit="1" customWidth="1"/>
    <col min="6" max="16384" width="8.6640625" style="37"/>
  </cols>
  <sheetData>
    <row r="1" spans="1:5" x14ac:dyDescent="0.25">
      <c r="A1" s="37">
        <f>IF('Indexing Tool'!H12=0, 2002, 'Indexing Tool'!H12)</f>
        <v>2004</v>
      </c>
      <c r="B1" s="184" t="s">
        <v>13</v>
      </c>
      <c r="C1" s="187" t="s">
        <v>61</v>
      </c>
      <c r="D1" s="188" t="s">
        <v>62</v>
      </c>
      <c r="E1" s="189" t="s">
        <v>63</v>
      </c>
    </row>
    <row r="2" spans="1:5" hidden="1" x14ac:dyDescent="0.25">
      <c r="A2" s="37">
        <f>IF(A1="", -1, IF(B2=$A$1, 0, -1))</f>
        <v>-1</v>
      </c>
      <c r="B2" s="177">
        <v>1970</v>
      </c>
      <c r="C2" s="178"/>
      <c r="D2" s="176"/>
      <c r="E2" s="176"/>
    </row>
    <row r="3" spans="1:5" hidden="1" x14ac:dyDescent="0.25">
      <c r="A3" s="37">
        <f>IF(A2&gt;=0, A2+1, IF(B3=$A$1, 0, -1))</f>
        <v>-1</v>
      </c>
      <c r="B3" s="177">
        <v>1971</v>
      </c>
      <c r="C3" s="178"/>
      <c r="D3" s="176"/>
      <c r="E3" s="176"/>
    </row>
    <row r="4" spans="1:5" hidden="1" x14ac:dyDescent="0.25">
      <c r="A4" s="37">
        <f t="shared" ref="A4:A56" si="0">IF(A3&gt;=0, A3+1, IF(B4=$A$1, 0, -1))</f>
        <v>-1</v>
      </c>
      <c r="B4" s="177">
        <v>1972</v>
      </c>
      <c r="C4" s="178"/>
      <c r="D4" s="176"/>
      <c r="E4" s="176"/>
    </row>
    <row r="5" spans="1:5" hidden="1" x14ac:dyDescent="0.25">
      <c r="A5" s="37">
        <f t="shared" si="0"/>
        <v>-1</v>
      </c>
      <c r="B5" s="177">
        <v>1973</v>
      </c>
      <c r="C5" s="179"/>
      <c r="D5" s="176"/>
      <c r="E5" s="176"/>
    </row>
    <row r="6" spans="1:5" hidden="1" x14ac:dyDescent="0.25">
      <c r="A6" s="37">
        <f t="shared" si="0"/>
        <v>-1</v>
      </c>
      <c r="B6" s="177">
        <v>1974</v>
      </c>
      <c r="C6" s="179"/>
      <c r="D6" s="176"/>
      <c r="E6" s="176"/>
    </row>
    <row r="7" spans="1:5" hidden="1" x14ac:dyDescent="0.25">
      <c r="A7" s="37">
        <f t="shared" si="0"/>
        <v>-1</v>
      </c>
      <c r="B7" s="177">
        <v>1975</v>
      </c>
      <c r="C7" s="178"/>
      <c r="D7" s="176"/>
      <c r="E7" s="176"/>
    </row>
    <row r="8" spans="1:5" hidden="1" x14ac:dyDescent="0.25">
      <c r="A8" s="37">
        <f t="shared" si="0"/>
        <v>-1</v>
      </c>
      <c r="B8" s="177">
        <v>1976</v>
      </c>
      <c r="C8" s="178"/>
      <c r="D8" s="176"/>
      <c r="E8" s="176"/>
    </row>
    <row r="9" spans="1:5" hidden="1" x14ac:dyDescent="0.25">
      <c r="A9" s="37">
        <f t="shared" si="0"/>
        <v>-1</v>
      </c>
      <c r="B9" s="177">
        <v>1977</v>
      </c>
      <c r="C9" s="179"/>
      <c r="D9" s="176"/>
      <c r="E9" s="176"/>
    </row>
    <row r="10" spans="1:5" hidden="1" x14ac:dyDescent="0.25">
      <c r="A10" s="37">
        <f t="shared" si="0"/>
        <v>-1</v>
      </c>
      <c r="B10" s="177">
        <v>1978</v>
      </c>
      <c r="C10" s="178"/>
      <c r="D10" s="176"/>
      <c r="E10" s="176"/>
    </row>
    <row r="11" spans="1:5" hidden="1" x14ac:dyDescent="0.25">
      <c r="A11" s="37">
        <f t="shared" si="0"/>
        <v>-1</v>
      </c>
      <c r="B11" s="177">
        <v>1979</v>
      </c>
      <c r="C11" s="178"/>
      <c r="D11" s="176"/>
      <c r="E11" s="176"/>
    </row>
    <row r="12" spans="1:5" hidden="1" x14ac:dyDescent="0.25">
      <c r="A12" s="37">
        <f t="shared" si="0"/>
        <v>-1</v>
      </c>
      <c r="B12" s="177">
        <v>1980</v>
      </c>
      <c r="C12" s="178"/>
      <c r="D12" s="176"/>
      <c r="E12" s="176"/>
    </row>
    <row r="13" spans="1:5" hidden="1" x14ac:dyDescent="0.25">
      <c r="A13" s="37">
        <f t="shared" si="0"/>
        <v>-1</v>
      </c>
      <c r="B13" s="177">
        <v>1981</v>
      </c>
      <c r="C13" s="179"/>
      <c r="D13" s="176"/>
      <c r="E13" s="176"/>
    </row>
    <row r="14" spans="1:5" hidden="1" x14ac:dyDescent="0.25">
      <c r="A14" s="37">
        <f t="shared" si="0"/>
        <v>-1</v>
      </c>
      <c r="B14" s="177">
        <v>1982</v>
      </c>
      <c r="C14" s="178"/>
      <c r="D14" s="176"/>
      <c r="E14" s="176"/>
    </row>
    <row r="15" spans="1:5" hidden="1" x14ac:dyDescent="0.25">
      <c r="A15" s="37">
        <f t="shared" si="0"/>
        <v>-1</v>
      </c>
      <c r="B15" s="177">
        <v>1983</v>
      </c>
      <c r="C15" s="178"/>
      <c r="D15" s="176"/>
      <c r="E15" s="176"/>
    </row>
    <row r="16" spans="1:5" hidden="1" x14ac:dyDescent="0.25">
      <c r="A16" s="37">
        <f t="shared" si="0"/>
        <v>-1</v>
      </c>
      <c r="B16" s="177">
        <v>1984</v>
      </c>
      <c r="C16" s="178"/>
      <c r="D16" s="176"/>
      <c r="E16" s="176"/>
    </row>
    <row r="17" spans="1:10" hidden="1" x14ac:dyDescent="0.25">
      <c r="A17" s="37">
        <f t="shared" si="0"/>
        <v>-1</v>
      </c>
      <c r="B17" s="177">
        <v>1985</v>
      </c>
      <c r="C17" s="178"/>
      <c r="D17" s="176"/>
      <c r="E17" s="176"/>
    </row>
    <row r="18" spans="1:10" hidden="1" x14ac:dyDescent="0.25">
      <c r="A18" s="37">
        <f t="shared" si="0"/>
        <v>-1</v>
      </c>
      <c r="B18" s="177">
        <v>1986</v>
      </c>
      <c r="C18" s="178"/>
      <c r="D18" s="176"/>
      <c r="E18" s="176"/>
    </row>
    <row r="19" spans="1:10" hidden="1" x14ac:dyDescent="0.25">
      <c r="A19" s="37">
        <f t="shared" si="0"/>
        <v>-1</v>
      </c>
      <c r="B19" s="177">
        <v>1987</v>
      </c>
      <c r="C19" s="178"/>
      <c r="D19" s="176"/>
      <c r="E19" s="176"/>
    </row>
    <row r="20" spans="1:10" hidden="1" x14ac:dyDescent="0.25">
      <c r="A20" s="37">
        <f t="shared" si="0"/>
        <v>-1</v>
      </c>
      <c r="B20" s="177">
        <v>1988</v>
      </c>
      <c r="C20" s="178"/>
      <c r="D20" s="176"/>
      <c r="E20" s="176"/>
    </row>
    <row r="21" spans="1:10" hidden="1" x14ac:dyDescent="0.25">
      <c r="A21" s="37">
        <f t="shared" si="0"/>
        <v>-1</v>
      </c>
      <c r="B21" s="177"/>
      <c r="C21" s="178"/>
      <c r="D21" s="176"/>
      <c r="E21" s="176"/>
    </row>
    <row r="22" spans="1:10" x14ac:dyDescent="0.25">
      <c r="A22" s="37">
        <f t="shared" si="0"/>
        <v>-1</v>
      </c>
      <c r="B22" s="177">
        <v>1990</v>
      </c>
      <c r="C22" s="180">
        <v>-6.5591397849462205E-2</v>
      </c>
      <c r="D22" s="180">
        <v>-3.10482064257664E-2</v>
      </c>
      <c r="E22" s="180">
        <v>8.9602215508559999E-2</v>
      </c>
    </row>
    <row r="23" spans="1:10" x14ac:dyDescent="0.25">
      <c r="A23" s="37">
        <f t="shared" si="0"/>
        <v>-1</v>
      </c>
      <c r="B23" s="177">
        <v>1991</v>
      </c>
      <c r="C23" s="180">
        <v>0.26306704621161597</v>
      </c>
      <c r="D23" s="180">
        <v>0.30465413595190799</v>
      </c>
      <c r="E23" s="180">
        <v>0.16003142401626599</v>
      </c>
    </row>
    <row r="24" spans="1:10" x14ac:dyDescent="0.25">
      <c r="A24" s="37">
        <f t="shared" si="0"/>
        <v>-1</v>
      </c>
      <c r="B24" s="177">
        <v>1992</v>
      </c>
      <c r="C24" s="180">
        <v>4.4642643074636203E-2</v>
      </c>
      <c r="D24" s="180">
        <v>7.6204574359401894E-2</v>
      </c>
      <c r="E24" s="180">
        <v>7.4021491883278404E-2</v>
      </c>
    </row>
    <row r="25" spans="1:10" x14ac:dyDescent="0.25">
      <c r="A25" s="37">
        <f t="shared" si="0"/>
        <v>-1</v>
      </c>
      <c r="B25" s="177">
        <v>1993</v>
      </c>
      <c r="C25" s="180">
        <v>7.0551513621445405E-2</v>
      </c>
      <c r="D25" s="180">
        <v>0.100778798093688</v>
      </c>
      <c r="E25" s="180">
        <v>9.7491510257857697E-2</v>
      </c>
    </row>
    <row r="26" spans="1:10" x14ac:dyDescent="0.25">
      <c r="A26" s="37">
        <f t="shared" si="0"/>
        <v>-1</v>
      </c>
      <c r="B26" s="177">
        <v>1994</v>
      </c>
      <c r="C26" s="180">
        <v>-1.53928609711652E-2</v>
      </c>
      <c r="D26" s="180">
        <v>1.3199577613516301E-2</v>
      </c>
      <c r="E26" s="180">
        <v>-2.9161507735131501E-2</v>
      </c>
    </row>
    <row r="27" spans="1:10" x14ac:dyDescent="0.25">
      <c r="A27" s="37">
        <f t="shared" si="0"/>
        <v>-1</v>
      </c>
      <c r="B27" s="177">
        <v>1995</v>
      </c>
      <c r="C27" s="180">
        <v>0.34110653863740198</v>
      </c>
      <c r="D27" s="180">
        <v>0.37578599965259601</v>
      </c>
      <c r="E27" s="180">
        <v>0.18473753659334199</v>
      </c>
      <c r="F27" s="39"/>
      <c r="G27" s="39"/>
      <c r="H27" s="39"/>
      <c r="I27" s="39"/>
      <c r="J27" s="40"/>
    </row>
    <row r="28" spans="1:10" x14ac:dyDescent="0.25">
      <c r="A28" s="37">
        <f t="shared" si="0"/>
        <v>-1</v>
      </c>
      <c r="B28" s="177">
        <v>1996</v>
      </c>
      <c r="C28" s="180">
        <v>0.20263666325718799</v>
      </c>
      <c r="D28" s="180">
        <v>0.22960961567597499</v>
      </c>
      <c r="E28" s="180">
        <v>3.6305819220793602E-2</v>
      </c>
      <c r="F28" s="39"/>
      <c r="G28" s="39"/>
      <c r="H28" s="39"/>
      <c r="I28" s="39"/>
      <c r="J28" s="39"/>
    </row>
    <row r="29" spans="1:10" x14ac:dyDescent="0.25">
      <c r="A29" s="37">
        <f t="shared" si="0"/>
        <v>-1</v>
      </c>
      <c r="B29" s="177">
        <v>1997</v>
      </c>
      <c r="C29" s="180">
        <v>0.31008181008180902</v>
      </c>
      <c r="D29" s="180">
        <v>0.33362768251360497</v>
      </c>
      <c r="E29" s="180">
        <v>9.6539577452718406E-2</v>
      </c>
    </row>
    <row r="30" spans="1:10" x14ac:dyDescent="0.25">
      <c r="A30" s="37">
        <f t="shared" si="0"/>
        <v>-1</v>
      </c>
      <c r="B30" s="181">
        <v>1998</v>
      </c>
      <c r="C30" s="180">
        <v>0.26668590212586102</v>
      </c>
      <c r="D30" s="180">
        <v>0.285790178777659</v>
      </c>
      <c r="E30" s="180">
        <v>8.6865154621858801E-2</v>
      </c>
    </row>
    <row r="31" spans="1:10" x14ac:dyDescent="0.25">
      <c r="A31" s="37">
        <f t="shared" si="0"/>
        <v>-1</v>
      </c>
      <c r="B31" s="181">
        <v>1999</v>
      </c>
      <c r="C31" s="180">
        <v>0.19526044759727601</v>
      </c>
      <c r="D31" s="180">
        <v>0.21041191370111501</v>
      </c>
      <c r="E31" s="180">
        <v>-8.2131959612004E-3</v>
      </c>
    </row>
    <row r="32" spans="1:10" x14ac:dyDescent="0.25">
      <c r="A32" s="37">
        <f t="shared" si="0"/>
        <v>-1</v>
      </c>
      <c r="B32" s="181">
        <v>2000</v>
      </c>
      <c r="C32" s="180">
        <v>-0.101391846658584</v>
      </c>
      <c r="D32" s="180">
        <v>-9.1040865183938099E-2</v>
      </c>
      <c r="E32" s="180">
        <v>0.11626067406221401</v>
      </c>
    </row>
    <row r="33" spans="1:5" x14ac:dyDescent="0.25">
      <c r="A33" s="37">
        <f t="shared" si="0"/>
        <v>-1</v>
      </c>
      <c r="B33" s="181">
        <v>2001</v>
      </c>
      <c r="C33" s="180">
        <v>-0.130426931727426</v>
      </c>
      <c r="D33" s="180">
        <v>-0.11886011811927299</v>
      </c>
      <c r="E33" s="180">
        <v>8.4434732396895695E-2</v>
      </c>
    </row>
    <row r="34" spans="1:5" x14ac:dyDescent="0.25">
      <c r="A34" s="37">
        <f t="shared" si="0"/>
        <v>-1</v>
      </c>
      <c r="B34" s="181">
        <v>2002</v>
      </c>
      <c r="C34" s="182">
        <v>-0.233659639571035</v>
      </c>
      <c r="D34" s="180">
        <v>-0.221003305213333</v>
      </c>
      <c r="E34" s="180">
        <v>0.102550295623826</v>
      </c>
    </row>
    <row r="35" spans="1:5" x14ac:dyDescent="0.25">
      <c r="A35" s="37">
        <f t="shared" si="0"/>
        <v>-1</v>
      </c>
      <c r="B35" s="181">
        <v>2003</v>
      </c>
      <c r="C35" s="182">
        <v>0.26380399932819798</v>
      </c>
      <c r="D35" s="180">
        <v>0.286842379587956</v>
      </c>
      <c r="E35" s="180">
        <v>4.1044469501519E-2</v>
      </c>
    </row>
    <row r="36" spans="1:5" x14ac:dyDescent="0.25">
      <c r="A36" s="37">
        <f t="shared" si="0"/>
        <v>0</v>
      </c>
      <c r="B36" s="181">
        <v>2004</v>
      </c>
      <c r="C36" s="182">
        <v>8.9934524109467506E-2</v>
      </c>
      <c r="D36" s="180">
        <v>0.10882109862232101</v>
      </c>
      <c r="E36" s="180">
        <v>4.3387864122063503E-2</v>
      </c>
    </row>
    <row r="37" spans="1:5" x14ac:dyDescent="0.25">
      <c r="A37" s="37">
        <f t="shared" si="0"/>
        <v>1</v>
      </c>
      <c r="B37" s="181">
        <v>2005</v>
      </c>
      <c r="C37" s="182">
        <v>3.0010226581274901E-2</v>
      </c>
      <c r="D37" s="180">
        <v>4.9117773987828101E-2</v>
      </c>
      <c r="E37" s="180">
        <v>2.42853209710183E-2</v>
      </c>
    </row>
    <row r="38" spans="1:5" x14ac:dyDescent="0.25">
      <c r="A38" s="37">
        <f t="shared" si="0"/>
        <v>2</v>
      </c>
      <c r="B38" s="181">
        <v>2006</v>
      </c>
      <c r="C38" s="182">
        <v>0.13619431738260701</v>
      </c>
      <c r="D38" s="180">
        <v>0.15794461193725201</v>
      </c>
      <c r="E38" s="180">
        <v>4.3337653227436497E-2</v>
      </c>
    </row>
    <row r="39" spans="1:5" x14ac:dyDescent="0.25">
      <c r="A39" s="37">
        <f t="shared" si="0"/>
        <v>3</v>
      </c>
      <c r="B39" s="181">
        <v>2007</v>
      </c>
      <c r="C39" s="182">
        <v>3.5295730663479498E-2</v>
      </c>
      <c r="D39" s="180">
        <v>5.4937311181959103E-2</v>
      </c>
      <c r="E39" s="180">
        <v>6.9666232368790201E-2</v>
      </c>
    </row>
    <row r="40" spans="1:5" x14ac:dyDescent="0.25">
      <c r="A40" s="37">
        <f t="shared" si="0"/>
        <v>4</v>
      </c>
      <c r="B40" s="181">
        <v>2008</v>
      </c>
      <c r="C40" s="182">
        <v>-0.38485793060906698</v>
      </c>
      <c r="D40" s="180">
        <v>-0.369976111327185</v>
      </c>
      <c r="E40" s="180">
        <v>5.2402371264973199E-2</v>
      </c>
    </row>
    <row r="41" spans="1:5" x14ac:dyDescent="0.25">
      <c r="A41" s="37">
        <f t="shared" si="0"/>
        <v>5</v>
      </c>
      <c r="B41" s="181">
        <v>2009</v>
      </c>
      <c r="C41" s="182">
        <v>0.23454190488340701</v>
      </c>
      <c r="D41" s="180">
        <v>0.26464233829787398</v>
      </c>
      <c r="E41" s="180">
        <v>5.9304028846060203E-2</v>
      </c>
    </row>
    <row r="42" spans="1:5" x14ac:dyDescent="0.25">
      <c r="A42" s="37">
        <f t="shared" si="0"/>
        <v>6</v>
      </c>
      <c r="B42" s="181">
        <v>2010</v>
      </c>
      <c r="C42" s="182">
        <v>0.127827138537601</v>
      </c>
      <c r="D42" s="180">
        <v>0.150634034863945</v>
      </c>
      <c r="E42" s="180">
        <v>6.5417108837411295E-2</v>
      </c>
    </row>
    <row r="43" spans="1:5" x14ac:dyDescent="0.25">
      <c r="A43" s="37">
        <f t="shared" si="0"/>
        <v>7</v>
      </c>
      <c r="B43" s="181">
        <v>2011</v>
      </c>
      <c r="C43" s="183">
        <v>-3.1836663936912703E-5</v>
      </c>
      <c r="D43" s="180">
        <v>2.11181538572391E-2</v>
      </c>
      <c r="E43" s="180">
        <v>7.8418156048670001E-2</v>
      </c>
    </row>
    <row r="44" spans="1:5" x14ac:dyDescent="0.25">
      <c r="A44" s="37">
        <f t="shared" si="0"/>
        <v>8</v>
      </c>
      <c r="B44" s="181">
        <v>2012</v>
      </c>
      <c r="C44" s="183">
        <v>0.13405690926621</v>
      </c>
      <c r="D44" s="180">
        <v>0.16003224238602601</v>
      </c>
      <c r="E44" s="180">
        <v>4.21483129793307E-2</v>
      </c>
    </row>
    <row r="45" spans="1:5" x14ac:dyDescent="0.25">
      <c r="A45" s="37">
        <f t="shared" si="0"/>
        <v>9</v>
      </c>
      <c r="B45" s="181">
        <v>2013</v>
      </c>
      <c r="C45" s="182">
        <v>0.29601249573324301</v>
      </c>
      <c r="D45" s="180">
        <v>0.32388484669706702</v>
      </c>
      <c r="E45" s="180">
        <v>-2.0236972448985899E-2</v>
      </c>
    </row>
    <row r="46" spans="1:5" x14ac:dyDescent="0.25">
      <c r="A46" s="37">
        <f t="shared" si="0"/>
        <v>10</v>
      </c>
      <c r="B46" s="181">
        <v>2014</v>
      </c>
      <c r="C46" s="182">
        <v>0.113906337867481</v>
      </c>
      <c r="D46" s="180">
        <v>0.136883583761816</v>
      </c>
      <c r="E46" s="180">
        <v>5.9656942771009601E-2</v>
      </c>
    </row>
    <row r="47" spans="1:5" x14ac:dyDescent="0.25">
      <c r="A47" s="37">
        <f t="shared" si="0"/>
        <v>11</v>
      </c>
      <c r="B47" s="181">
        <v>2015</v>
      </c>
      <c r="C47" s="182">
        <v>-7.2659972058235402E-3</v>
      </c>
      <c r="D47" s="180">
        <v>1.38376408858609E-2</v>
      </c>
      <c r="E47" s="180">
        <v>5.4995506368555802E-3</v>
      </c>
    </row>
    <row r="48" spans="1:5" x14ac:dyDescent="0.25">
      <c r="A48" s="37">
        <f t="shared" si="0"/>
        <v>12</v>
      </c>
      <c r="B48" s="181">
        <v>2016</v>
      </c>
      <c r="C48" s="180">
        <v>9.5350226672836505E-2</v>
      </c>
      <c r="D48" s="180">
        <v>0.11959913306315299</v>
      </c>
      <c r="E48" s="180">
        <v>2.64747762803592E-2</v>
      </c>
    </row>
    <row r="49" spans="1:8" x14ac:dyDescent="0.25">
      <c r="A49" s="37">
        <f t="shared" si="0"/>
        <v>13</v>
      </c>
      <c r="B49" s="181">
        <v>2017</v>
      </c>
      <c r="C49" s="180">
        <v>0.19419965523287899</v>
      </c>
      <c r="D49" s="180">
        <v>0.21831591555840801</v>
      </c>
      <c r="E49" s="180">
        <v>3.5418347187953003E-2</v>
      </c>
    </row>
    <row r="50" spans="1:8" x14ac:dyDescent="0.25">
      <c r="A50" s="37">
        <f t="shared" si="0"/>
        <v>14</v>
      </c>
      <c r="B50" s="181">
        <v>2018</v>
      </c>
      <c r="C50" s="180">
        <v>-6.2372598496206799E-2</v>
      </c>
      <c r="D50" s="180">
        <v>-4.3842333247031601E-2</v>
      </c>
      <c r="E50" s="180">
        <v>1.13664647079847E-4</v>
      </c>
    </row>
    <row r="51" spans="1:8" x14ac:dyDescent="0.25">
      <c r="A51" s="37">
        <f t="shared" si="0"/>
        <v>15</v>
      </c>
      <c r="B51" s="181">
        <v>2019</v>
      </c>
      <c r="C51" s="180">
        <v>0.28878070225158398</v>
      </c>
      <c r="D51" s="180">
        <v>0.31486361792387102</v>
      </c>
      <c r="E51" s="180">
        <v>8.7167006236631206E-2</v>
      </c>
    </row>
    <row r="52" spans="1:8" x14ac:dyDescent="0.25">
      <c r="A52" s="37">
        <f t="shared" si="0"/>
        <v>16</v>
      </c>
      <c r="B52" s="184">
        <v>2020</v>
      </c>
      <c r="C52" s="180">
        <v>0.16258923055706101</v>
      </c>
      <c r="D52" s="180">
        <v>0.183988315647684</v>
      </c>
      <c r="E52" s="180">
        <v>7.5066347766227601E-2</v>
      </c>
    </row>
    <row r="53" spans="1:8" x14ac:dyDescent="0.25">
      <c r="A53" s="37">
        <f t="shared" si="0"/>
        <v>17</v>
      </c>
      <c r="B53" s="184">
        <v>2021</v>
      </c>
      <c r="C53" s="180">
        <v>0.26892738661371202</v>
      </c>
      <c r="D53" s="180">
        <v>0.28705369259327901</v>
      </c>
      <c r="E53" s="180">
        <v>-1.54188121352422E-2</v>
      </c>
    </row>
    <row r="54" spans="1:8" x14ac:dyDescent="0.25">
      <c r="A54" s="37">
        <f t="shared" si="0"/>
        <v>18</v>
      </c>
      <c r="B54" s="184">
        <v>2022</v>
      </c>
      <c r="C54" s="180">
        <v>-0.194428272034292</v>
      </c>
      <c r="D54" s="180">
        <v>-0.18110888886302901</v>
      </c>
      <c r="E54" s="180">
        <v>-0.13010266905576701</v>
      </c>
    </row>
    <row r="55" spans="1:8" ht="14.4" x14ac:dyDescent="0.3">
      <c r="A55" s="37">
        <f t="shared" si="0"/>
        <v>19</v>
      </c>
      <c r="B55" s="184">
        <v>2023</v>
      </c>
      <c r="C55" s="185">
        <v>0.24229999999999999</v>
      </c>
      <c r="D55" s="185">
        <v>0.26290000000000002</v>
      </c>
      <c r="E55" s="186">
        <v>5.5E-2</v>
      </c>
    </row>
    <row r="56" spans="1:8" ht="14.4" x14ac:dyDescent="0.3">
      <c r="A56" s="37">
        <f t="shared" si="0"/>
        <v>20</v>
      </c>
      <c r="B56" s="184">
        <v>2024</v>
      </c>
      <c r="C56" s="185">
        <v>0.2331</v>
      </c>
      <c r="D56" s="185">
        <v>0.25019999999999998</v>
      </c>
      <c r="E56" s="186">
        <v>1.2500000000000001E-2</v>
      </c>
    </row>
    <row r="57" spans="1:8" ht="13.95" customHeight="1" x14ac:dyDescent="0.25">
      <c r="B57" s="241" t="s">
        <v>64</v>
      </c>
      <c r="C57" s="241"/>
      <c r="D57" s="241"/>
      <c r="E57" s="241"/>
      <c r="F57" s="241"/>
      <c r="G57" s="241"/>
      <c r="H57" s="241"/>
    </row>
    <row r="58" spans="1:8" x14ac:dyDescent="0.25">
      <c r="B58" s="241"/>
      <c r="C58" s="241"/>
      <c r="D58" s="241"/>
      <c r="E58" s="241"/>
      <c r="F58" s="241"/>
      <c r="G58" s="241"/>
      <c r="H58" s="241"/>
    </row>
    <row r="59" spans="1:8" x14ac:dyDescent="0.25">
      <c r="B59" s="241"/>
      <c r="C59" s="241"/>
      <c r="D59" s="241"/>
      <c r="E59" s="241"/>
      <c r="F59" s="241"/>
      <c r="G59" s="241"/>
      <c r="H59" s="241"/>
    </row>
    <row r="60" spans="1:8" x14ac:dyDescent="0.25">
      <c r="B60" s="241"/>
      <c r="C60" s="241"/>
      <c r="D60" s="241"/>
      <c r="E60" s="241"/>
      <c r="F60" s="241"/>
      <c r="G60" s="241"/>
      <c r="H60" s="241"/>
    </row>
    <row r="61" spans="1:8" x14ac:dyDescent="0.25">
      <c r="B61" s="241"/>
      <c r="C61" s="241"/>
      <c r="D61" s="241"/>
      <c r="E61" s="241"/>
      <c r="F61" s="241"/>
      <c r="G61" s="241"/>
      <c r="H61" s="241"/>
    </row>
    <row r="62" spans="1:8" x14ac:dyDescent="0.25">
      <c r="B62" s="241"/>
      <c r="C62" s="241"/>
      <c r="D62" s="241"/>
      <c r="E62" s="241"/>
      <c r="F62" s="241"/>
      <c r="G62" s="241"/>
      <c r="H62" s="241"/>
    </row>
    <row r="63" spans="1:8" x14ac:dyDescent="0.25">
      <c r="B63" s="241"/>
      <c r="C63" s="241"/>
      <c r="D63" s="241"/>
      <c r="E63" s="241"/>
      <c r="F63" s="241"/>
      <c r="G63" s="241"/>
      <c r="H63" s="241"/>
    </row>
    <row r="64" spans="1:8" x14ac:dyDescent="0.25">
      <c r="B64" s="241"/>
      <c r="C64" s="241"/>
      <c r="D64" s="241"/>
      <c r="E64" s="241"/>
      <c r="F64" s="241"/>
      <c r="G64" s="241"/>
      <c r="H64" s="241"/>
    </row>
    <row r="65" spans="2:8" x14ac:dyDescent="0.25">
      <c r="B65" s="241"/>
      <c r="C65" s="241"/>
      <c r="D65" s="241"/>
      <c r="E65" s="241"/>
      <c r="F65" s="241"/>
      <c r="G65" s="241"/>
      <c r="H65" s="241"/>
    </row>
  </sheetData>
  <mergeCells count="1">
    <mergeCell ref="B57:H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FC07F-CD70-427B-B08A-2DCACAC49F04}">
  <sheetPr codeName="Sheet4">
    <pageSetUpPr fitToPage="1"/>
  </sheetPr>
  <dimension ref="A1:U21"/>
  <sheetViews>
    <sheetView showGridLines="0" zoomScale="160" zoomScaleNormal="160" workbookViewId="0">
      <selection activeCell="B39" sqref="B39"/>
    </sheetView>
  </sheetViews>
  <sheetFormatPr defaultRowHeight="14.4" x14ac:dyDescent="0.3"/>
  <cols>
    <col min="1" max="1" width="10" customWidth="1"/>
    <col min="2" max="2" width="9" customWidth="1"/>
    <col min="3" max="3" width="15.5546875" bestFit="1" customWidth="1"/>
    <col min="4" max="4" width="27.33203125" bestFit="1" customWidth="1"/>
    <col min="5" max="5" width="11.33203125" bestFit="1" customWidth="1"/>
    <col min="6" max="6" width="5" bestFit="1" customWidth="1"/>
    <col min="7" max="7" width="15.6640625" bestFit="1" customWidth="1"/>
    <col min="8" max="8" width="11.5546875" bestFit="1" customWidth="1"/>
    <col min="9" max="9" width="11.33203125" bestFit="1" customWidth="1"/>
    <col min="10" max="10" width="5" bestFit="1" customWidth="1"/>
    <col min="11" max="11" width="15.5546875" bestFit="1" customWidth="1"/>
    <col min="12" max="12" width="7.5546875" bestFit="1" customWidth="1"/>
    <col min="13" max="13" width="12.6640625" customWidth="1"/>
    <col min="14" max="14" width="15.6640625" bestFit="1" customWidth="1"/>
    <col min="15" max="15" width="7.6640625" bestFit="1" customWidth="1"/>
    <col min="16" max="16" width="15.5546875" bestFit="1" customWidth="1"/>
    <col min="17" max="17" width="1.109375" customWidth="1"/>
    <col min="18" max="18" width="31.109375" customWidth="1"/>
    <col min="19" max="19" width="18.109375" customWidth="1"/>
    <col min="20" max="20" width="3.109375" customWidth="1"/>
    <col min="21" max="21" width="5" customWidth="1"/>
  </cols>
  <sheetData>
    <row r="1" spans="1:21" ht="31.2" x14ac:dyDescent="0.3">
      <c r="A1" s="244" t="s">
        <v>66</v>
      </c>
      <c r="B1" s="245"/>
      <c r="C1" s="245"/>
      <c r="D1" s="245"/>
      <c r="E1" s="245"/>
      <c r="F1" s="245"/>
      <c r="G1" s="245"/>
      <c r="H1" s="245"/>
      <c r="I1" s="245"/>
      <c r="J1" s="245"/>
      <c r="K1" s="245"/>
      <c r="L1" s="245"/>
      <c r="M1" s="245"/>
      <c r="N1" s="245"/>
      <c r="O1" s="245"/>
      <c r="P1" s="245"/>
      <c r="Q1" s="245"/>
      <c r="R1" s="245"/>
      <c r="S1" s="245"/>
      <c r="T1" s="245"/>
      <c r="U1" s="246"/>
    </row>
    <row r="2" spans="1:21" ht="25.8" x14ac:dyDescent="0.3">
      <c r="A2" s="247" t="s">
        <v>0</v>
      </c>
      <c r="B2" s="248"/>
      <c r="C2" s="248"/>
      <c r="D2" s="248"/>
      <c r="E2" s="248"/>
      <c r="F2" s="248"/>
      <c r="G2" s="248"/>
      <c r="H2" s="248"/>
      <c r="I2" s="248"/>
      <c r="J2" s="248"/>
      <c r="K2" s="248"/>
      <c r="L2" s="248"/>
      <c r="M2" s="248"/>
      <c r="N2" s="248"/>
      <c r="O2" s="248"/>
      <c r="P2" s="248"/>
      <c r="Q2" s="248"/>
      <c r="R2" s="248"/>
      <c r="S2" s="248"/>
      <c r="T2" s="248"/>
      <c r="U2" s="249"/>
    </row>
    <row r="3" spans="1:21" ht="5.25" customHeight="1" x14ac:dyDescent="0.3">
      <c r="A3" s="71"/>
      <c r="B3" s="71"/>
      <c r="C3" s="71"/>
      <c r="D3" s="71"/>
      <c r="E3" s="71"/>
      <c r="F3" s="71"/>
      <c r="G3" s="71"/>
      <c r="H3" s="71"/>
      <c r="I3" s="71"/>
      <c r="J3" s="71"/>
      <c r="K3" s="71"/>
      <c r="L3" s="71"/>
      <c r="M3" s="71"/>
      <c r="N3" s="71"/>
      <c r="O3" s="71"/>
      <c r="P3" s="72"/>
      <c r="Q3" s="72"/>
      <c r="R3" s="72"/>
      <c r="S3" s="8"/>
      <c r="T3" s="8"/>
      <c r="U3" s="8"/>
    </row>
    <row r="4" spans="1:21" ht="23.4" x14ac:dyDescent="0.35">
      <c r="A4" s="250" t="s">
        <v>56</v>
      </c>
      <c r="B4" s="250"/>
      <c r="C4" s="250"/>
      <c r="D4" s="71"/>
      <c r="E4" s="71"/>
      <c r="F4" s="71"/>
      <c r="G4" s="8"/>
      <c r="H4" s="8"/>
      <c r="I4" s="8"/>
      <c r="J4" s="8"/>
      <c r="K4" s="71"/>
      <c r="L4" s="71"/>
      <c r="M4" s="71"/>
      <c r="N4" s="71"/>
      <c r="O4" s="71"/>
      <c r="P4" s="72"/>
      <c r="Q4" s="72"/>
      <c r="R4" s="72"/>
      <c r="S4" s="8"/>
      <c r="T4" s="8"/>
      <c r="U4" s="8"/>
    </row>
    <row r="5" spans="1:21" ht="4.5" customHeight="1" x14ac:dyDescent="0.35">
      <c r="A5" s="30"/>
      <c r="B5" s="30"/>
      <c r="C5" s="30"/>
      <c r="D5" s="1"/>
      <c r="E5" s="1"/>
      <c r="F5" s="1"/>
      <c r="G5" s="8"/>
      <c r="H5" s="8"/>
      <c r="I5" s="31"/>
      <c r="J5" s="31"/>
      <c r="K5" s="1"/>
      <c r="L5" s="1"/>
      <c r="M5" s="1"/>
      <c r="N5" s="1"/>
      <c r="O5" s="1"/>
      <c r="P5" s="2"/>
      <c r="Q5" s="2"/>
      <c r="R5" s="2"/>
    </row>
    <row r="6" spans="1:21" x14ac:dyDescent="0.3">
      <c r="A6" s="251" t="s">
        <v>1</v>
      </c>
      <c r="B6" s="251"/>
      <c r="C6" s="62"/>
      <c r="G6" s="78"/>
      <c r="H6" s="78"/>
      <c r="L6" s="4"/>
      <c r="M6" s="5"/>
    </row>
    <row r="7" spans="1:21" x14ac:dyDescent="0.3">
      <c r="A7" s="251" t="s">
        <v>67</v>
      </c>
      <c r="B7" s="242"/>
      <c r="C7" s="63"/>
      <c r="G7" s="79"/>
      <c r="H7" s="80"/>
      <c r="K7" s="6"/>
      <c r="L7" s="7"/>
      <c r="M7" s="5"/>
    </row>
    <row r="8" spans="1:21" x14ac:dyDescent="0.3">
      <c r="A8" s="242" t="s">
        <v>3</v>
      </c>
      <c r="B8" s="243"/>
      <c r="C8" s="63"/>
      <c r="H8" s="3"/>
      <c r="K8" s="6"/>
      <c r="L8" s="5"/>
      <c r="M8" s="5"/>
    </row>
    <row r="9" spans="1:21" x14ac:dyDescent="0.3">
      <c r="A9" s="251" t="s">
        <v>5</v>
      </c>
      <c r="B9" s="242"/>
      <c r="C9" s="62"/>
      <c r="G9" s="259" t="s">
        <v>2</v>
      </c>
      <c r="H9" s="260"/>
      <c r="L9" s="5"/>
      <c r="M9" s="5"/>
    </row>
    <row r="10" spans="1:21" x14ac:dyDescent="0.3">
      <c r="A10" s="261" t="s">
        <v>6</v>
      </c>
      <c r="B10" s="262"/>
      <c r="C10" s="56"/>
      <c r="D10" s="32" t="s">
        <v>7</v>
      </c>
      <c r="G10" s="70" t="s">
        <v>23</v>
      </c>
      <c r="H10" s="70">
        <v>0</v>
      </c>
      <c r="L10" s="3"/>
      <c r="M10" s="3"/>
      <c r="N10" s="8"/>
      <c r="O10" s="9"/>
    </row>
    <row r="11" spans="1:21" x14ac:dyDescent="0.3">
      <c r="A11" s="263" t="s">
        <v>8</v>
      </c>
      <c r="B11" s="264"/>
      <c r="C11" s="66"/>
      <c r="D11" s="33" t="s">
        <v>9</v>
      </c>
      <c r="G11" s="67" t="s">
        <v>57</v>
      </c>
      <c r="H11" s="67">
        <v>0</v>
      </c>
      <c r="L11" s="3"/>
      <c r="M11" s="3"/>
      <c r="N11" s="8"/>
      <c r="O11" s="9"/>
    </row>
    <row r="12" spans="1:21" x14ac:dyDescent="0.3">
      <c r="A12" s="265" t="s">
        <v>10</v>
      </c>
      <c r="B12" s="266"/>
      <c r="C12" s="57"/>
      <c r="D12" s="34" t="s">
        <v>11</v>
      </c>
      <c r="E12" s="10"/>
      <c r="G12" s="68" t="s">
        <v>58</v>
      </c>
      <c r="H12" s="68">
        <v>0</v>
      </c>
      <c r="L12" s="3"/>
      <c r="M12" s="3"/>
    </row>
    <row r="13" spans="1:21" x14ac:dyDescent="0.3">
      <c r="A13" s="267" t="s">
        <v>12</v>
      </c>
      <c r="B13" s="268"/>
      <c r="C13" s="58"/>
      <c r="G13" s="69" t="s">
        <v>59</v>
      </c>
      <c r="H13" s="69">
        <v>0</v>
      </c>
      <c r="I13" s="3"/>
      <c r="J13" s="3"/>
      <c r="K13" s="11" t="s">
        <v>4</v>
      </c>
      <c r="L13" s="3"/>
      <c r="M13" s="3"/>
      <c r="N13" s="12"/>
    </row>
    <row r="14" spans="1:21" x14ac:dyDescent="0.3">
      <c r="A14" s="253" t="s">
        <v>14</v>
      </c>
      <c r="B14" s="254"/>
      <c r="C14" s="59"/>
      <c r="E14" s="5"/>
      <c r="G14" s="3"/>
      <c r="H14" s="3"/>
      <c r="I14" s="3"/>
      <c r="J14" s="3"/>
      <c r="K14" s="11"/>
      <c r="L14" s="3"/>
      <c r="M14" s="3"/>
      <c r="N14" s="12"/>
    </row>
    <row r="15" spans="1:21" x14ac:dyDescent="0.3">
      <c r="A15" s="255" t="s">
        <v>15</v>
      </c>
      <c r="B15" s="256"/>
      <c r="C15" s="60"/>
      <c r="E15" s="5"/>
      <c r="G15" s="36" t="s">
        <v>60</v>
      </c>
      <c r="H15" s="65">
        <v>2003</v>
      </c>
      <c r="I15" s="5"/>
      <c r="K15" s="11"/>
      <c r="L15" s="3"/>
      <c r="M15" s="3"/>
      <c r="N15" s="12"/>
    </row>
    <row r="16" spans="1:21" x14ac:dyDescent="0.3">
      <c r="A16" s="257" t="s">
        <v>16</v>
      </c>
      <c r="B16" s="258"/>
      <c r="C16" s="61"/>
      <c r="D16" s="13"/>
      <c r="E16" s="11"/>
      <c r="F16" s="14"/>
      <c r="I16" s="14"/>
      <c r="J16" s="14"/>
      <c r="K16" s="11"/>
      <c r="L16" s="3"/>
      <c r="M16" s="3"/>
    </row>
    <row r="19" spans="1:19" ht="18" x14ac:dyDescent="0.35">
      <c r="A19" s="234"/>
      <c r="B19" s="234"/>
      <c r="C19" s="235" t="s">
        <v>17</v>
      </c>
      <c r="D19" s="235"/>
      <c r="E19" s="235"/>
      <c r="F19" s="235"/>
      <c r="G19" s="236" t="s">
        <v>18</v>
      </c>
      <c r="H19" s="237"/>
      <c r="I19" s="237"/>
      <c r="J19" s="238"/>
      <c r="K19" s="239" t="s">
        <v>19</v>
      </c>
      <c r="L19" s="239"/>
      <c r="M19" s="239"/>
      <c r="N19" s="225" t="s">
        <v>20</v>
      </c>
      <c r="O19" s="225"/>
      <c r="P19" s="225"/>
      <c r="Q19" s="76"/>
      <c r="R19" s="252" t="s">
        <v>55</v>
      </c>
      <c r="S19" s="252"/>
    </row>
    <row r="20" spans="1:19" x14ac:dyDescent="0.3">
      <c r="A20" s="35" t="s">
        <v>13</v>
      </c>
      <c r="B20" s="35" t="s">
        <v>21</v>
      </c>
      <c r="C20" s="41" t="s">
        <v>22</v>
      </c>
      <c r="D20" s="41" t="s">
        <v>23</v>
      </c>
      <c r="E20" s="41" t="s">
        <v>24</v>
      </c>
      <c r="F20" s="41" t="s">
        <v>25</v>
      </c>
      <c r="G20" s="46" t="s">
        <v>22</v>
      </c>
      <c r="H20" s="46" t="s">
        <v>23</v>
      </c>
      <c r="I20" s="46" t="s">
        <v>24</v>
      </c>
      <c r="J20" s="46" t="s">
        <v>25</v>
      </c>
      <c r="K20" s="52" t="s">
        <v>22</v>
      </c>
      <c r="L20" s="52" t="s">
        <v>23</v>
      </c>
      <c r="M20" s="52" t="s">
        <v>25</v>
      </c>
      <c r="N20" s="20" t="s">
        <v>22</v>
      </c>
      <c r="O20" s="20" t="s">
        <v>23</v>
      </c>
      <c r="P20" s="20" t="s">
        <v>25</v>
      </c>
      <c r="Q20" s="73"/>
      <c r="R20" s="35" t="s">
        <v>13</v>
      </c>
      <c r="S20" s="50" t="s">
        <v>22</v>
      </c>
    </row>
    <row r="21" spans="1:19" x14ac:dyDescent="0.3">
      <c r="A21" s="64">
        <v>0</v>
      </c>
      <c r="B21" s="64">
        <f>$C$9+A21</f>
        <v>0</v>
      </c>
      <c r="C21" s="42">
        <f>C8*C11</f>
        <v>0</v>
      </c>
      <c r="D21" s="43">
        <f>IFERROR(VLOOKUP(A21,'S&amp;P Returns'!A:H,4,0), 0)</f>
        <v>0.10882109862232101</v>
      </c>
      <c r="E21" s="44">
        <f>D21-$C$16</f>
        <v>0.10882109862232101</v>
      </c>
      <c r="F21" s="45">
        <f>-($H$10)</f>
        <v>0</v>
      </c>
      <c r="G21" s="47">
        <f>C8*C12</f>
        <v>0</v>
      </c>
      <c r="H21" s="77">
        <f>IFERROR(VLOOKUP(A21,'S&amp;P Returns'!A:H,5,0), 0)</f>
        <v>4.3387864122063503E-2</v>
      </c>
      <c r="I21" s="48">
        <f t="shared" ref="I21" si="0">H21-$C$16</f>
        <v>4.3387864122063503E-2</v>
      </c>
      <c r="J21" s="49">
        <f>-($H$11)</f>
        <v>0</v>
      </c>
      <c r="K21" s="53">
        <f>C8*C13</f>
        <v>0</v>
      </c>
      <c r="L21" s="54">
        <f>IF(V20&gt;0,MIN(V20, $C$13),V20*0)</f>
        <v>0</v>
      </c>
      <c r="M21" s="55">
        <f>-($H$12)</f>
        <v>0</v>
      </c>
      <c r="N21" s="26">
        <f>C8*C15</f>
        <v>0</v>
      </c>
      <c r="O21" s="27">
        <f>MAX(0, $V20 * $C$15)</f>
        <v>0</v>
      </c>
      <c r="P21" s="28">
        <f>-($H$13)</f>
        <v>0</v>
      </c>
      <c r="Q21" s="73"/>
      <c r="R21" s="50" t="s">
        <v>54</v>
      </c>
      <c r="S21" s="51">
        <f>SUM(C21+G21+K21+N21)</f>
        <v>0</v>
      </c>
    </row>
  </sheetData>
  <mergeCells count="21">
    <mergeCell ref="R19:S19"/>
    <mergeCell ref="A14:B14"/>
    <mergeCell ref="A15:B15"/>
    <mergeCell ref="A16:B16"/>
    <mergeCell ref="A9:B9"/>
    <mergeCell ref="G9:H9"/>
    <mergeCell ref="A10:B10"/>
    <mergeCell ref="A11:B11"/>
    <mergeCell ref="A12:B12"/>
    <mergeCell ref="A13:B13"/>
    <mergeCell ref="A19:B19"/>
    <mergeCell ref="C19:F19"/>
    <mergeCell ref="G19:J19"/>
    <mergeCell ref="K19:M19"/>
    <mergeCell ref="N19:P19"/>
    <mergeCell ref="A8:B8"/>
    <mergeCell ref="A1:U1"/>
    <mergeCell ref="A2:U2"/>
    <mergeCell ref="A4:C4"/>
    <mergeCell ref="A6:B6"/>
    <mergeCell ref="A7:B7"/>
  </mergeCells>
  <conditionalFormatting sqref="C21:P21">
    <cfRule type="cellIs" dxfId="0" priority="1" operator="lessThan">
      <formula>0</formula>
    </cfRule>
  </conditionalFormatting>
  <pageMargins left="0.7" right="0.7" top="0.75" bottom="0.75" header="0.3" footer="0.3"/>
  <pageSetup scale="48" orientation="landscape" verticalDpi="597"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BD0B-872E-49A9-AC61-421FF6B9E048}">
  <sheetPr codeName="Sheet3">
    <pageSetUpPr fitToPage="1"/>
  </sheetPr>
  <dimension ref="A63:AQ72"/>
  <sheetViews>
    <sheetView showGridLines="0" showRowColHeaders="0" topLeftCell="A4" zoomScale="55" zoomScaleNormal="55" workbookViewId="0">
      <selection activeCell="AR32" sqref="AR32"/>
    </sheetView>
  </sheetViews>
  <sheetFormatPr defaultRowHeight="14.4" x14ac:dyDescent="0.3"/>
  <cols>
    <col min="34" max="34" width="47.33203125" customWidth="1"/>
  </cols>
  <sheetData>
    <row r="63" ht="213.75" customHeight="1" x14ac:dyDescent="0.3"/>
    <row r="64" ht="107.25" customHeight="1" x14ac:dyDescent="0.3"/>
    <row r="65" spans="1:43" ht="158.25" customHeight="1" x14ac:dyDescent="0.3">
      <c r="A65" s="270" t="s">
        <v>49</v>
      </c>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73"/>
      <c r="AJ65" s="73"/>
      <c r="AK65" s="73"/>
      <c r="AL65" s="73"/>
      <c r="AM65" s="73"/>
      <c r="AN65" s="73"/>
      <c r="AO65" s="73"/>
      <c r="AP65" s="73"/>
      <c r="AQ65" s="73"/>
    </row>
    <row r="66" spans="1:43" ht="6.75" customHeight="1" x14ac:dyDescent="0.45">
      <c r="A66" s="271"/>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73"/>
      <c r="AJ66" s="73"/>
      <c r="AK66" s="73"/>
      <c r="AL66" s="73"/>
      <c r="AM66" s="73"/>
      <c r="AN66" s="73"/>
      <c r="AO66" s="73"/>
      <c r="AP66" s="73"/>
      <c r="AQ66" s="73"/>
    </row>
    <row r="67" spans="1:43" ht="24" customHeight="1" x14ac:dyDescent="0.3">
      <c r="A67" s="270" t="s">
        <v>50</v>
      </c>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73"/>
      <c r="AJ67" s="73"/>
      <c r="AK67" s="73"/>
      <c r="AL67" s="73"/>
      <c r="AM67" s="73"/>
      <c r="AN67" s="73"/>
      <c r="AO67" s="73"/>
      <c r="AP67" s="73"/>
      <c r="AQ67" s="73"/>
    </row>
    <row r="68" spans="1:43" ht="10.5" customHeight="1" x14ac:dyDescent="0.3">
      <c r="A68" s="270"/>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73"/>
      <c r="AJ68" s="73"/>
      <c r="AK68" s="73"/>
      <c r="AL68" s="73"/>
      <c r="AM68" s="73"/>
      <c r="AN68" s="73"/>
      <c r="AO68" s="73"/>
      <c r="AP68" s="73"/>
      <c r="AQ68" s="73"/>
    </row>
    <row r="69" spans="1:43" ht="65.25" customHeight="1" x14ac:dyDescent="0.3">
      <c r="A69" s="270" t="s">
        <v>51</v>
      </c>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73"/>
      <c r="AJ69" s="73"/>
      <c r="AK69" s="73"/>
      <c r="AL69" s="73"/>
      <c r="AM69" s="73"/>
      <c r="AN69" s="73"/>
      <c r="AO69" s="73"/>
      <c r="AP69" s="73"/>
      <c r="AQ69" s="73"/>
    </row>
    <row r="70" spans="1:43" ht="22.8" x14ac:dyDescent="0.3">
      <c r="A70" s="269" t="s">
        <v>52</v>
      </c>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73"/>
      <c r="AJ70" s="73"/>
      <c r="AK70" s="73"/>
      <c r="AL70" s="73"/>
      <c r="AM70" s="73"/>
      <c r="AN70" s="73"/>
      <c r="AO70" s="73"/>
      <c r="AP70" s="73"/>
      <c r="AQ70" s="73"/>
    </row>
    <row r="71" spans="1:43" ht="22.8" x14ac:dyDescent="0.3">
      <c r="A71" s="269"/>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73"/>
      <c r="AJ71" s="73"/>
      <c r="AK71" s="73"/>
      <c r="AL71" s="73"/>
      <c r="AM71" s="73"/>
      <c r="AN71" s="73"/>
      <c r="AO71" s="73"/>
      <c r="AP71" s="73"/>
      <c r="AQ71" s="73"/>
    </row>
    <row r="72" spans="1:43" ht="23.4" x14ac:dyDescent="0.4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row>
  </sheetData>
  <mergeCells count="7">
    <mergeCell ref="A71:AH71"/>
    <mergeCell ref="A65:AH65"/>
    <mergeCell ref="A66:AH66"/>
    <mergeCell ref="A67:AH67"/>
    <mergeCell ref="A68:AH68"/>
    <mergeCell ref="A69:AH69"/>
    <mergeCell ref="A70:AH70"/>
  </mergeCells>
  <pageMargins left="0.7" right="0.7" top="0.75" bottom="0.75" header="0.3" footer="0.3"/>
  <pageSetup scale="35" fitToHeight="0" orientation="landscape" verticalDpi="597"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B52A1CCFAC9A419EADF82D7BE55CF0" ma:contentTypeVersion="14" ma:contentTypeDescription="Create a new document." ma:contentTypeScope="" ma:versionID="21ecedba7efd1ce62b38789f4854bb96">
  <xsd:schema xmlns:xsd="http://www.w3.org/2001/XMLSchema" xmlns:xs="http://www.w3.org/2001/XMLSchema" xmlns:p="http://schemas.microsoft.com/office/2006/metadata/properties" xmlns:ns3="0a1cd00e-90ce-4763-85b4-3d09660f54ad" xmlns:ns4="4bec2473-8692-4d8c-a90a-a54d2dbd0ec3" targetNamespace="http://schemas.microsoft.com/office/2006/metadata/properties" ma:root="true" ma:fieldsID="9e826de7c85b225aa4972718c9f5687c" ns3:_="" ns4:_="">
    <xsd:import namespace="0a1cd00e-90ce-4763-85b4-3d09660f54ad"/>
    <xsd:import namespace="4bec2473-8692-4d8c-a90a-a54d2dbd0ec3"/>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GenerationTime" minOccurs="0"/>
                <xsd:element ref="ns3:MediaServiceEventHashCode" minOccurs="0"/>
                <xsd:element ref="ns3:MediaServiceDateTaken" minOccurs="0"/>
                <xsd:element ref="ns3:MediaServiceAutoTag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1cd00e-90ce-4763-85b4-3d09660f54ad"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ec2473-8692-4d8c-a90a-a54d2dbd0ec3"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a1cd00e-90ce-4763-85b4-3d09660f54ad" xsi:nil="true"/>
  </documentManagement>
</p:properties>
</file>

<file path=customXml/itemProps1.xml><?xml version="1.0" encoding="utf-8"?>
<ds:datastoreItem xmlns:ds="http://schemas.openxmlformats.org/officeDocument/2006/customXml" ds:itemID="{B79E3A42-01D9-4F1F-BCAF-9EEAF32B8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1cd00e-90ce-4763-85b4-3d09660f54ad"/>
    <ds:schemaRef ds:uri="4bec2473-8692-4d8c-a90a-a54d2dbd0e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A21919-B3C9-412D-A374-06EEEE5422E5}">
  <ds:schemaRefs>
    <ds:schemaRef ds:uri="http://schemas.microsoft.com/sharepoint/v3/contenttype/forms"/>
  </ds:schemaRefs>
</ds:datastoreItem>
</file>

<file path=customXml/itemProps3.xml><?xml version="1.0" encoding="utf-8"?>
<ds:datastoreItem xmlns:ds="http://schemas.openxmlformats.org/officeDocument/2006/customXml" ds:itemID="{8661D4E6-AED0-4F6E-AB0B-623B8331247A}">
  <ds:schemaRefs>
    <ds:schemaRef ds:uri="http://purl.org/dc/dcmitype/"/>
    <ds:schemaRef ds:uri="4bec2473-8692-4d8c-a90a-a54d2dbd0ec3"/>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0a1cd00e-90ce-4763-85b4-3d09660f54ad"/>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Indexing Tool</vt:lpstr>
      <vt:lpstr>S&amp;P Returns</vt:lpstr>
      <vt:lpstr>Instructions</vt:lpstr>
      <vt:lpstr>Graph</vt:lpstr>
    </vt:vector>
  </TitlesOfParts>
  <Company>Advisors Excel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 Konarski</dc:creator>
  <cp:lastModifiedBy>Dustin Campbell</cp:lastModifiedBy>
  <cp:lastPrinted>2023-07-14T20:30:40Z</cp:lastPrinted>
  <dcterms:created xsi:type="dcterms:W3CDTF">2023-07-03T14:29:40Z</dcterms:created>
  <dcterms:modified xsi:type="dcterms:W3CDTF">2025-02-18T20:59:37Z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0x0101001BB52A1CCFAC9A419EADF82D7BE55CF0</vt:lpwstr>
  </property>
</Properties>
</file>